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7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 codeName="{3D1A710C-6663-3D7B-7F91-EC182F24A4BC}"/>
  <workbookPr updateLinks="always"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üsseldorf Rams\0000_Intranet\Spielbericht\"/>
    </mc:Choice>
  </mc:AlternateContent>
  <xr:revisionPtr revIDLastSave="0" documentId="13_ncr:1_{D27F0482-1129-4225-90FF-9C7503930DE4}" xr6:coauthVersionLast="36" xr6:coauthVersionMax="47" xr10:uidLastSave="{00000000-0000-0000-0000-000000000000}"/>
  <workbookProtection workbookPassword="E760" lockStructure="1"/>
  <bookViews>
    <workbookView xWindow="-105" yWindow="-105" windowWidth="23250" windowHeight="12450" tabRatio="774" firstSheet="1" activeTab="1" xr2:uid="{DC833888-18A2-4B2B-A067-BD2387696FA4}"/>
  </bookViews>
  <sheets>
    <sheet name="Daten" sheetId="16" state="hidden" r:id="rId1"/>
    <sheet name="Setup" sheetId="59" r:id="rId2"/>
    <sheet name="Gesamt" sheetId="65" state="hidden" r:id="rId3"/>
    <sheet name="Club1" sheetId="26" r:id="rId4"/>
    <sheet name="Club2" sheetId="35" r:id="rId5"/>
    <sheet name="Spielbericht" sheetId="1" r:id="rId6"/>
    <sheet name="Spielbericht (2)" sheetId="52" state="hidden" r:id="rId7"/>
    <sheet name="Zusatzblatt" sheetId="54" r:id="rId8"/>
    <sheet name="Strafzeitencodes" sheetId="67" r:id="rId9"/>
    <sheet name="Penaltyschießen" sheetId="57" r:id="rId10"/>
    <sheet name="BesondereVorkommnisse" sheetId="58" r:id="rId11"/>
  </sheets>
  <functionGroups builtInGroupCount="19"/>
  <definedNames>
    <definedName name="_xlnm.Print_Area" localSheetId="10">BesondereVorkommnisse!$A$1:$S$61</definedName>
    <definedName name="_xlnm.Print_Area" localSheetId="3">Club1!$A$1:$E$25</definedName>
    <definedName name="_xlnm.Print_Area" localSheetId="4">Club2!$A$1:$E$25</definedName>
    <definedName name="_xlnm.Print_Area" localSheetId="9">Penaltyschießen!$A$1:$U$55</definedName>
    <definedName name="_xlnm.Print_Area" localSheetId="1">Setup!$A$1:$H$17</definedName>
    <definedName name="_xlnm.Print_Area" localSheetId="5">Spielbericht!$A$1:$AD$56</definedName>
    <definedName name="_xlnm.Print_Area" localSheetId="6">'Spielbericht (2)'!#REF!</definedName>
    <definedName name="_xlnm.Print_Area" localSheetId="7">Zusatzblatt!$A$1:$W$59</definedName>
    <definedName name="ExterneDaten_1" localSheetId="4" hidden="1">Club2!$A$7:$E$25</definedName>
    <definedName name="Gesamt">#REF!</definedName>
    <definedName name="Gesamtteam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26" l="1"/>
  <c r="A7" i="65" l="1"/>
  <c r="B7" i="65"/>
  <c r="C7" i="65"/>
  <c r="D7" i="65"/>
  <c r="E7" i="65"/>
  <c r="F7" i="65"/>
  <c r="A8" i="65"/>
  <c r="B8" i="65"/>
  <c r="C8" i="65"/>
  <c r="D8" i="65"/>
  <c r="E8" i="65"/>
  <c r="F8" i="65"/>
  <c r="A9" i="65"/>
  <c r="B9" i="65"/>
  <c r="C9" i="65"/>
  <c r="D9" i="65"/>
  <c r="E9" i="65"/>
  <c r="F9" i="65"/>
  <c r="A10" i="65"/>
  <c r="B10" i="65"/>
  <c r="C10" i="65"/>
  <c r="D10" i="65"/>
  <c r="E10" i="65"/>
  <c r="F10" i="65"/>
  <c r="A11" i="65"/>
  <c r="B11" i="65"/>
  <c r="C11" i="65"/>
  <c r="D11" i="65"/>
  <c r="E11" i="65"/>
  <c r="F11" i="65"/>
  <c r="A12" i="65"/>
  <c r="B12" i="65"/>
  <c r="C12" i="65"/>
  <c r="D12" i="65"/>
  <c r="E12" i="65"/>
  <c r="F12" i="65"/>
  <c r="A13" i="65"/>
  <c r="B13" i="65"/>
  <c r="C13" i="65"/>
  <c r="D13" i="65"/>
  <c r="E13" i="65"/>
  <c r="F13" i="65"/>
  <c r="A14" i="65"/>
  <c r="B14" i="65"/>
  <c r="C14" i="65"/>
  <c r="D14" i="65"/>
  <c r="E14" i="65"/>
  <c r="F14" i="65"/>
  <c r="A15" i="65"/>
  <c r="B15" i="65"/>
  <c r="C15" i="65"/>
  <c r="D15" i="65"/>
  <c r="E15" i="65"/>
  <c r="F15" i="65"/>
  <c r="A16" i="65"/>
  <c r="B16" i="65"/>
  <c r="C16" i="65"/>
  <c r="D16" i="65"/>
  <c r="E16" i="65"/>
  <c r="F16" i="65"/>
  <c r="A17" i="65"/>
  <c r="B17" i="65"/>
  <c r="C17" i="65"/>
  <c r="D17" i="65"/>
  <c r="E17" i="65"/>
  <c r="F17" i="65"/>
  <c r="A18" i="65"/>
  <c r="B18" i="65"/>
  <c r="C18" i="65"/>
  <c r="D18" i="65"/>
  <c r="E18" i="65"/>
  <c r="F18" i="65"/>
  <c r="A19" i="65"/>
  <c r="B19" i="65"/>
  <c r="C19" i="65"/>
  <c r="D19" i="65"/>
  <c r="E19" i="65"/>
  <c r="F19" i="65"/>
  <c r="U44" i="54" l="1"/>
  <c r="U43" i="54"/>
  <c r="Q45" i="54"/>
  <c r="I45" i="54"/>
  <c r="X52" i="1" l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35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6" i="1"/>
  <c r="X34" i="1"/>
  <c r="T42" i="1"/>
  <c r="T43" i="1"/>
  <c r="T44" i="1"/>
  <c r="T45" i="1"/>
  <c r="T46" i="1"/>
  <c r="T47" i="1"/>
  <c r="T48" i="1"/>
  <c r="T49" i="1"/>
  <c r="T50" i="1"/>
  <c r="T51" i="1"/>
  <c r="T52" i="1" s="1"/>
  <c r="T54" i="1" s="1"/>
  <c r="T35" i="1"/>
  <c r="T36" i="1" s="1"/>
  <c r="T37" i="1" s="1"/>
  <c r="T38" i="1" s="1"/>
  <c r="T39" i="1" s="1"/>
  <c r="T40" i="1" s="1"/>
  <c r="T41" i="1" s="1"/>
  <c r="T34" i="1"/>
  <c r="X23" i="1"/>
  <c r="X5" i="1"/>
  <c r="T25" i="1"/>
  <c r="T5" i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A21" i="65"/>
  <c r="B21" i="65"/>
  <c r="C21" i="65"/>
  <c r="D21" i="65"/>
  <c r="E21" i="65"/>
  <c r="A22" i="65"/>
  <c r="B22" i="65"/>
  <c r="C22" i="65"/>
  <c r="D22" i="65"/>
  <c r="E22" i="65"/>
  <c r="A23" i="65"/>
  <c r="B23" i="65"/>
  <c r="C23" i="65"/>
  <c r="D23" i="65"/>
  <c r="E23" i="65"/>
  <c r="A24" i="65"/>
  <c r="B24" i="65"/>
  <c r="C24" i="65"/>
  <c r="D24" i="65"/>
  <c r="E24" i="65"/>
  <c r="A25" i="65"/>
  <c r="B25" i="65"/>
  <c r="C25" i="65"/>
  <c r="D25" i="65"/>
  <c r="E25" i="65"/>
  <c r="A26" i="65"/>
  <c r="B26" i="65"/>
  <c r="C26" i="65"/>
  <c r="D26" i="65"/>
  <c r="E26" i="65"/>
  <c r="A27" i="65"/>
  <c r="B27" i="65"/>
  <c r="C27" i="65"/>
  <c r="D27" i="65"/>
  <c r="E27" i="65"/>
  <c r="A28" i="65"/>
  <c r="B28" i="65"/>
  <c r="C28" i="65"/>
  <c r="D28" i="65"/>
  <c r="E28" i="65"/>
  <c r="A29" i="65"/>
  <c r="B29" i="65"/>
  <c r="C29" i="65"/>
  <c r="D29" i="65"/>
  <c r="E29" i="65"/>
  <c r="A30" i="65"/>
  <c r="B30" i="65"/>
  <c r="C30" i="65"/>
  <c r="D30" i="65"/>
  <c r="E30" i="65"/>
  <c r="A31" i="65"/>
  <c r="B31" i="65"/>
  <c r="C31" i="65"/>
  <c r="D31" i="65"/>
  <c r="E31" i="65"/>
  <c r="A32" i="65"/>
  <c r="B32" i="65"/>
  <c r="C32" i="65"/>
  <c r="D32" i="65"/>
  <c r="E32" i="65"/>
  <c r="A33" i="65"/>
  <c r="B33" i="65"/>
  <c r="C33" i="65"/>
  <c r="D33" i="65"/>
  <c r="E33" i="65"/>
  <c r="A34" i="65"/>
  <c r="B34" i="65"/>
  <c r="C34" i="65"/>
  <c r="D34" i="65"/>
  <c r="E34" i="65"/>
  <c r="A35" i="65"/>
  <c r="B35" i="65"/>
  <c r="C35" i="65"/>
  <c r="D35" i="65"/>
  <c r="E35" i="65"/>
  <c r="A36" i="65"/>
  <c r="B36" i="65"/>
  <c r="C36" i="65"/>
  <c r="D36" i="65"/>
  <c r="E36" i="65"/>
  <c r="A37" i="65"/>
  <c r="B37" i="65"/>
  <c r="C37" i="65"/>
  <c r="D37" i="65"/>
  <c r="E37" i="65"/>
  <c r="D6" i="65"/>
  <c r="J20" i="1"/>
  <c r="N35" i="1"/>
  <c r="M49" i="1"/>
  <c r="P18" i="1"/>
  <c r="J19" i="1"/>
  <c r="O40" i="1"/>
  <c r="J18" i="1"/>
  <c r="J38" i="1"/>
  <c r="J44" i="1"/>
  <c r="N47" i="1"/>
  <c r="P21" i="1"/>
  <c r="J9" i="1"/>
  <c r="P49" i="1"/>
  <c r="P37" i="1"/>
  <c r="J40" i="1"/>
  <c r="N38" i="1"/>
  <c r="J12" i="1"/>
  <c r="P48" i="1"/>
  <c r="J47" i="1"/>
  <c r="J49" i="1"/>
  <c r="P40" i="1"/>
  <c r="P14" i="1"/>
  <c r="P11" i="1"/>
  <c r="N39" i="1"/>
  <c r="J36" i="1"/>
  <c r="P36" i="1"/>
  <c r="J6" i="1"/>
  <c r="N46" i="1"/>
  <c r="M47" i="1"/>
  <c r="J50" i="1"/>
  <c r="P38" i="1"/>
  <c r="M51" i="1"/>
  <c r="J10" i="1"/>
  <c r="P41" i="1"/>
  <c r="J51" i="1"/>
  <c r="P39" i="1"/>
  <c r="N50" i="1"/>
  <c r="J41" i="1"/>
  <c r="M40" i="1"/>
  <c r="P44" i="1"/>
  <c r="J5" i="1"/>
  <c r="P20" i="1"/>
  <c r="M39" i="1"/>
  <c r="P6" i="1"/>
  <c r="J42" i="1"/>
  <c r="P51" i="1"/>
  <c r="J48" i="1"/>
  <c r="P46" i="1"/>
  <c r="O50" i="1"/>
  <c r="N48" i="1"/>
  <c r="J13" i="1"/>
  <c r="P19" i="1"/>
  <c r="M38" i="1"/>
  <c r="O35" i="1"/>
  <c r="P12" i="1"/>
  <c r="P50" i="1"/>
  <c r="P5" i="1"/>
  <c r="P22" i="1"/>
  <c r="J11" i="1"/>
  <c r="O41" i="1"/>
  <c r="J45" i="1"/>
  <c r="O38" i="1"/>
  <c r="M34" i="1"/>
  <c r="J46" i="1"/>
  <c r="N40" i="1"/>
  <c r="P45" i="1"/>
  <c r="J14" i="1"/>
  <c r="M48" i="1"/>
  <c r="O46" i="1"/>
  <c r="P42" i="1"/>
  <c r="O39" i="1"/>
  <c r="J7" i="1"/>
  <c r="J15" i="1"/>
  <c r="O47" i="1"/>
  <c r="J37" i="1"/>
  <c r="J8" i="1"/>
  <c r="P9" i="1"/>
  <c r="P43" i="1"/>
  <c r="J35" i="1"/>
  <c r="P17" i="1"/>
  <c r="M50" i="1"/>
  <c r="P47" i="1"/>
  <c r="J16" i="1"/>
  <c r="J34" i="1"/>
  <c r="O51" i="1"/>
  <c r="J22" i="1"/>
  <c r="P13" i="1"/>
  <c r="J43" i="1"/>
  <c r="N49" i="1"/>
  <c r="J39" i="1"/>
  <c r="P8" i="1"/>
  <c r="J21" i="1"/>
  <c r="P7" i="1"/>
  <c r="O49" i="1"/>
  <c r="P16" i="1"/>
  <c r="M35" i="1"/>
  <c r="N41" i="1"/>
  <c r="N51" i="1"/>
  <c r="N34" i="1"/>
  <c r="O34" i="1"/>
  <c r="M41" i="1"/>
  <c r="P34" i="1"/>
  <c r="P15" i="1"/>
  <c r="O48" i="1"/>
  <c r="P10" i="1"/>
  <c r="J17" i="1"/>
  <c r="M46" i="1"/>
  <c r="P35" i="1"/>
  <c r="H13" i="1" l="1"/>
  <c r="L51" i="1"/>
  <c r="L50" i="1"/>
  <c r="L49" i="1"/>
  <c r="L48" i="1"/>
  <c r="L47" i="1"/>
  <c r="L46" i="1"/>
  <c r="L45" i="1"/>
  <c r="L44" i="1"/>
  <c r="L43" i="1"/>
  <c r="L42" i="1"/>
  <c r="L41" i="1"/>
  <c r="L40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9" i="1"/>
  <c r="L38" i="1"/>
  <c r="L37" i="1"/>
  <c r="L36" i="1"/>
  <c r="L35" i="1"/>
  <c r="L34" i="1"/>
  <c r="L9" i="1"/>
  <c r="L8" i="1"/>
  <c r="L7" i="1"/>
  <c r="L6" i="1"/>
  <c r="L5" i="1"/>
  <c r="K8" i="58" l="1"/>
  <c r="M8" i="54"/>
  <c r="L8" i="57"/>
  <c r="G1" i="35"/>
  <c r="D11" i="1"/>
  <c r="D9" i="1"/>
  <c r="P23" i="1"/>
  <c r="F3" i="65" l="1"/>
  <c r="F4" i="65"/>
  <c r="F5" i="65"/>
  <c r="F6" i="65"/>
  <c r="F2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F37" i="65"/>
  <c r="C20" i="65"/>
  <c r="D20" i="65"/>
  <c r="E20" i="65"/>
  <c r="B20" i="65"/>
  <c r="A20" i="65"/>
  <c r="A3" i="65"/>
  <c r="B3" i="65"/>
  <c r="C3" i="65"/>
  <c r="D3" i="65"/>
  <c r="E3" i="65"/>
  <c r="A4" i="65"/>
  <c r="B4" i="65"/>
  <c r="C4" i="65"/>
  <c r="D4" i="65"/>
  <c r="E4" i="65"/>
  <c r="A5" i="65"/>
  <c r="B5" i="65"/>
  <c r="C5" i="65"/>
  <c r="D5" i="65"/>
  <c r="E5" i="65"/>
  <c r="A6" i="65"/>
  <c r="B6" i="65"/>
  <c r="C6" i="65"/>
  <c r="E6" i="65"/>
  <c r="C2" i="65"/>
  <c r="D2" i="65"/>
  <c r="E2" i="65"/>
  <c r="B2" i="65"/>
  <c r="A2" i="65"/>
  <c r="B12" i="54"/>
  <c r="I11" i="1"/>
  <c r="L55" i="1"/>
  <c r="L26" i="1"/>
  <c r="I9" i="1"/>
  <c r="B28" i="58" l="1"/>
  <c r="K20" i="58"/>
  <c r="B20" i="58" s="1"/>
  <c r="K17" i="58"/>
  <c r="B17" i="58" s="1"/>
  <c r="G31" i="1"/>
  <c r="G34" i="1"/>
  <c r="G28" i="1"/>
  <c r="G25" i="1"/>
  <c r="F34" i="1"/>
  <c r="F31" i="1"/>
  <c r="F28" i="1"/>
  <c r="F25" i="1"/>
  <c r="C34" i="1"/>
  <c r="C31" i="1"/>
  <c r="C28" i="1"/>
  <c r="C25" i="1"/>
  <c r="G22" i="1"/>
  <c r="F22" i="1"/>
  <c r="C22" i="1"/>
  <c r="I19" i="1"/>
  <c r="I15" i="1"/>
  <c r="F15" i="1"/>
  <c r="C15" i="1"/>
  <c r="D13" i="1"/>
  <c r="AK6" i="1"/>
  <c r="AK2" i="1"/>
  <c r="B8" i="58" l="1"/>
  <c r="Q10" i="57"/>
  <c r="T10" i="54"/>
  <c r="B8" i="54"/>
  <c r="B8" i="57"/>
  <c r="N28" i="58"/>
  <c r="F21" i="57"/>
  <c r="F34" i="57"/>
  <c r="F33" i="57"/>
  <c r="F28" i="57"/>
  <c r="F27" i="57"/>
  <c r="F26" i="57"/>
  <c r="O21" i="57"/>
  <c r="O33" i="57"/>
  <c r="O28" i="57"/>
  <c r="O27" i="57"/>
  <c r="O26" i="57"/>
  <c r="O34" i="57"/>
  <c r="M19" i="1"/>
  <c r="N21" i="1"/>
  <c r="N10" i="1"/>
  <c r="M21" i="1"/>
  <c r="O11" i="1"/>
  <c r="O12" i="1"/>
  <c r="N20" i="1"/>
  <c r="O22" i="1"/>
  <c r="O19" i="1"/>
  <c r="M22" i="1"/>
  <c r="M12" i="1"/>
  <c r="O10" i="1"/>
  <c r="M11" i="1"/>
  <c r="N12" i="1"/>
  <c r="N22" i="1"/>
  <c r="M20" i="1"/>
  <c r="M10" i="1"/>
  <c r="O20" i="1"/>
  <c r="N19" i="1"/>
  <c r="O21" i="1"/>
  <c r="N11" i="1"/>
  <c r="E13" i="58" l="1"/>
  <c r="G13" i="58"/>
  <c r="J13" i="58"/>
  <c r="B13" i="58"/>
  <c r="J12" i="57"/>
  <c r="G12" i="57"/>
  <c r="E12" i="57"/>
  <c r="B12" i="57"/>
  <c r="J12" i="54"/>
  <c r="G12" i="54"/>
  <c r="E12" i="54"/>
  <c r="I18" i="1"/>
  <c r="I17" i="1"/>
  <c r="F19" i="1"/>
  <c r="F18" i="1"/>
  <c r="F17" i="1"/>
  <c r="R15" i="58"/>
  <c r="I11" i="58" l="1"/>
  <c r="B11" i="58"/>
  <c r="I10" i="57"/>
  <c r="B10" i="57"/>
  <c r="B10" i="54"/>
  <c r="H10" i="54"/>
  <c r="W8" i="54"/>
  <c r="S8" i="58"/>
  <c r="U8" i="57"/>
  <c r="AB55" i="52"/>
  <c r="AB54" i="52"/>
  <c r="T54" i="52"/>
  <c r="AB53" i="52"/>
  <c r="AB52" i="52"/>
  <c r="X52" i="52"/>
  <c r="T52" i="52"/>
  <c r="AB51" i="52"/>
  <c r="X51" i="52"/>
  <c r="T51" i="52"/>
  <c r="AB50" i="52"/>
  <c r="X50" i="52"/>
  <c r="T50" i="52"/>
  <c r="AB49" i="52"/>
  <c r="X49" i="52"/>
  <c r="T49" i="52"/>
  <c r="AB48" i="52"/>
  <c r="X48" i="52"/>
  <c r="T48" i="52"/>
  <c r="AB47" i="52"/>
  <c r="X47" i="52"/>
  <c r="T47" i="52"/>
  <c r="AB46" i="52"/>
  <c r="X46" i="52"/>
  <c r="T46" i="52"/>
  <c r="AB45" i="52"/>
  <c r="X45" i="52"/>
  <c r="T45" i="52"/>
  <c r="AB44" i="52"/>
  <c r="X44" i="52"/>
  <c r="T44" i="52"/>
  <c r="AB43" i="52"/>
  <c r="X43" i="52"/>
  <c r="T43" i="52"/>
  <c r="AB42" i="52"/>
  <c r="X42" i="52"/>
  <c r="T42" i="52"/>
  <c r="AB41" i="52"/>
  <c r="X41" i="52"/>
  <c r="T41" i="52"/>
  <c r="AB40" i="52"/>
  <c r="X40" i="52"/>
  <c r="T40" i="52"/>
  <c r="AB39" i="52"/>
  <c r="X39" i="52"/>
  <c r="T39" i="52"/>
  <c r="AB38" i="52"/>
  <c r="X38" i="52"/>
  <c r="T38" i="52"/>
  <c r="AB37" i="52"/>
  <c r="X37" i="52"/>
  <c r="T37" i="52"/>
  <c r="AB36" i="52"/>
  <c r="X36" i="52"/>
  <c r="T36" i="52"/>
  <c r="AB35" i="52"/>
  <c r="X35" i="52"/>
  <c r="T35" i="52"/>
  <c r="AB34" i="52"/>
  <c r="X34" i="52"/>
  <c r="T34" i="52"/>
  <c r="AB26" i="52"/>
  <c r="AB25" i="52"/>
  <c r="T25" i="52"/>
  <c r="AB24" i="52"/>
  <c r="AB23" i="52"/>
  <c r="X23" i="52"/>
  <c r="T23" i="52"/>
  <c r="AK22" i="52"/>
  <c r="AB22" i="52"/>
  <c r="X22" i="52"/>
  <c r="T22" i="52"/>
  <c r="AK21" i="52"/>
  <c r="AL21" i="52" s="1"/>
  <c r="E48" i="52" s="1"/>
  <c r="AB21" i="52"/>
  <c r="X21" i="52"/>
  <c r="T21" i="52"/>
  <c r="AK20" i="52"/>
  <c r="AB20" i="52"/>
  <c r="X20" i="52"/>
  <c r="T20" i="52"/>
  <c r="AK19" i="52"/>
  <c r="AL19" i="52" s="1"/>
  <c r="B48" i="52" s="1"/>
  <c r="AB19" i="52"/>
  <c r="X19" i="52"/>
  <c r="T19" i="52"/>
  <c r="AB18" i="52"/>
  <c r="X18" i="52"/>
  <c r="T18" i="52"/>
  <c r="AB17" i="52"/>
  <c r="X17" i="52"/>
  <c r="T17" i="52"/>
  <c r="AB16" i="52"/>
  <c r="X16" i="52"/>
  <c r="T16" i="52"/>
  <c r="AB15" i="52"/>
  <c r="X15" i="52"/>
  <c r="T15" i="52"/>
  <c r="AB14" i="52"/>
  <c r="X14" i="52"/>
  <c r="T14" i="52"/>
  <c r="AB13" i="52"/>
  <c r="X13" i="52"/>
  <c r="T13" i="52"/>
  <c r="H13" i="52"/>
  <c r="AB12" i="52"/>
  <c r="X12" i="52"/>
  <c r="T12" i="52"/>
  <c r="AB11" i="52"/>
  <c r="X11" i="52"/>
  <c r="T11" i="52"/>
  <c r="AB10" i="52"/>
  <c r="X10" i="52"/>
  <c r="T10" i="52"/>
  <c r="AB9" i="52"/>
  <c r="X9" i="52"/>
  <c r="T9" i="52"/>
  <c r="AB8" i="52"/>
  <c r="X8" i="52"/>
  <c r="T8" i="52"/>
  <c r="AB7" i="52"/>
  <c r="X7" i="52"/>
  <c r="T7" i="52"/>
  <c r="AB6" i="52"/>
  <c r="X6" i="52"/>
  <c r="T6" i="52"/>
  <c r="AB5" i="52"/>
  <c r="X5" i="52"/>
  <c r="T5" i="52"/>
  <c r="J40" i="52"/>
  <c r="P23" i="52"/>
  <c r="J47" i="52"/>
  <c r="J8" i="52"/>
  <c r="J9" i="52"/>
  <c r="J37" i="52"/>
  <c r="J10" i="52"/>
  <c r="J36" i="52"/>
  <c r="J18" i="52"/>
  <c r="J21" i="52"/>
  <c r="J14" i="52"/>
  <c r="J13" i="52"/>
  <c r="J49" i="52"/>
  <c r="J41" i="52"/>
  <c r="J44" i="52"/>
  <c r="J16" i="52"/>
  <c r="J19" i="52"/>
  <c r="J15" i="52"/>
  <c r="J22" i="52"/>
  <c r="J11" i="52"/>
  <c r="J42" i="52"/>
  <c r="J46" i="52"/>
  <c r="J12" i="52"/>
  <c r="J35" i="52"/>
  <c r="J43" i="52"/>
  <c r="J34" i="52"/>
  <c r="J38" i="52"/>
  <c r="J7" i="52"/>
  <c r="J20" i="52"/>
  <c r="J51" i="52"/>
  <c r="P52" i="52"/>
  <c r="J5" i="52"/>
  <c r="J45" i="52"/>
  <c r="J48" i="52"/>
  <c r="J50" i="52"/>
  <c r="J39" i="52"/>
  <c r="J6" i="52"/>
  <c r="J17" i="52"/>
  <c r="W25" i="52" l="1"/>
  <c r="X26" i="52"/>
  <c r="X55" i="52"/>
  <c r="H8" i="58"/>
  <c r="H8" i="57"/>
  <c r="H8" i="54"/>
  <c r="AC27" i="52"/>
  <c r="AC56" i="52"/>
  <c r="AM19" i="52"/>
  <c r="W54" i="52"/>
  <c r="X54" i="52"/>
  <c r="W55" i="52"/>
  <c r="W26" i="52"/>
  <c r="X25" i="52"/>
  <c r="F48" i="52" l="1"/>
  <c r="C48" i="52"/>
  <c r="N43" i="57" l="1"/>
  <c r="O43" i="57" s="1"/>
  <c r="N42" i="57"/>
  <c r="O42" i="57" s="1"/>
  <c r="N41" i="57"/>
  <c r="O41" i="57" s="1"/>
  <c r="N40" i="57"/>
  <c r="O40" i="57" s="1"/>
  <c r="N39" i="57"/>
  <c r="O39" i="57" s="1"/>
  <c r="D43" i="57"/>
  <c r="F43" i="57" s="1"/>
  <c r="D42" i="57"/>
  <c r="F42" i="57" s="1"/>
  <c r="D41" i="57"/>
  <c r="F41" i="57" s="1"/>
  <c r="D40" i="57"/>
  <c r="F40" i="57" s="1"/>
  <c r="D39" i="57"/>
  <c r="F39" i="57" s="1"/>
  <c r="F45" i="54" l="1"/>
  <c r="U45" i="54" l="1"/>
  <c r="AK22" i="1"/>
  <c r="AK21" i="1"/>
  <c r="AK20" i="1"/>
  <c r="AK19" i="1"/>
  <c r="P52" i="1"/>
  <c r="D9" i="52"/>
  <c r="D11" i="52"/>
  <c r="K28" i="52" l="1"/>
  <c r="K1" i="52"/>
  <c r="AL21" i="1"/>
  <c r="E48" i="1" s="1"/>
  <c r="AL19" i="1"/>
  <c r="B48" i="1" s="1"/>
  <c r="AM19" i="1"/>
  <c r="I9" i="52"/>
  <c r="I11" i="52"/>
  <c r="AK2" i="52" l="1"/>
  <c r="AK4" i="52" s="1"/>
  <c r="AK6" i="52"/>
  <c r="C48" i="1"/>
  <c r="F48" i="1"/>
  <c r="E40" i="52" l="1"/>
  <c r="F40" i="52" s="1"/>
  <c r="I40" i="52" s="1"/>
  <c r="B40" i="52"/>
  <c r="C40" i="52" s="1"/>
  <c r="G41" i="52" s="1"/>
  <c r="AK3" i="52"/>
  <c r="AK15" i="52"/>
  <c r="AK12" i="52"/>
  <c r="AK9" i="52"/>
  <c r="AK11" i="52"/>
  <c r="AK5" i="52"/>
  <c r="AK13" i="52"/>
  <c r="AK10" i="52"/>
  <c r="AK14" i="52"/>
  <c r="AK16" i="52"/>
  <c r="AB55" i="1"/>
  <c r="AB54" i="1"/>
  <c r="AB53" i="1"/>
  <c r="AB52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34" i="1"/>
  <c r="AB24" i="1"/>
  <c r="AB23" i="1"/>
  <c r="AB26" i="1"/>
  <c r="AB2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5" i="1"/>
  <c r="H40" i="52" l="1"/>
  <c r="I41" i="52"/>
  <c r="H41" i="52"/>
  <c r="B42" i="52"/>
  <c r="C42" i="52" s="1"/>
  <c r="E42" i="52"/>
  <c r="F42" i="52" s="1"/>
  <c r="AL9" i="52"/>
  <c r="F46" i="52" s="1"/>
  <c r="AC56" i="1"/>
  <c r="AC27" i="1"/>
  <c r="B44" i="52" l="1"/>
  <c r="C44" i="52" s="1"/>
  <c r="E44" i="52"/>
  <c r="F44" i="52" s="1"/>
  <c r="C46" i="52"/>
  <c r="G40" i="52" s="1"/>
  <c r="G43" i="52" s="1"/>
  <c r="B46" i="52" l="1"/>
  <c r="E46" i="52"/>
  <c r="H43" i="52"/>
  <c r="I43" i="52"/>
  <c r="K28" i="1" l="1"/>
  <c r="K1" i="1"/>
  <c r="B40" i="1" l="1"/>
  <c r="C40" i="1" s="1"/>
  <c r="E40" i="1"/>
  <c r="F40" i="1" s="1"/>
  <c r="AK4" i="1"/>
  <c r="AK5" i="1" s="1"/>
  <c r="AK3" i="1"/>
  <c r="W54" i="1"/>
  <c r="O5" i="1"/>
  <c r="O18" i="1"/>
  <c r="M6" i="1"/>
  <c r="N5" i="1"/>
  <c r="N6" i="1"/>
  <c r="N17" i="1"/>
  <c r="M5" i="1"/>
  <c r="M17" i="1"/>
  <c r="M18" i="1"/>
  <c r="N18" i="1"/>
  <c r="O9" i="1"/>
  <c r="O6" i="1"/>
  <c r="M9" i="1"/>
  <c r="O17" i="1"/>
  <c r="AK16" i="1" l="1"/>
  <c r="AK12" i="1"/>
  <c r="AK15" i="1"/>
  <c r="AK13" i="1"/>
  <c r="AK14" i="1"/>
  <c r="AK10" i="1"/>
  <c r="AK11" i="1"/>
  <c r="AK9" i="1"/>
  <c r="B42" i="1"/>
  <c r="C42" i="1" s="1"/>
  <c r="E42" i="1"/>
  <c r="X55" i="1"/>
  <c r="W55" i="1"/>
  <c r="X54" i="1"/>
  <c r="N9" i="1"/>
  <c r="AL9" i="1" l="1"/>
  <c r="E44" i="1"/>
  <c r="F42" i="1"/>
  <c r="B44" i="1"/>
  <c r="C44" i="1" s="1"/>
  <c r="W25" i="1"/>
  <c r="X25" i="1"/>
  <c r="W26" i="1"/>
  <c r="X26" i="1"/>
  <c r="E46" i="1" l="1"/>
  <c r="F46" i="1" s="1"/>
  <c r="F44" i="1"/>
  <c r="B46" i="1"/>
  <c r="C46" i="1" s="1"/>
  <c r="H41" i="1" l="1"/>
  <c r="G41" i="1" l="1"/>
  <c r="G40" i="1"/>
  <c r="I41" i="1"/>
  <c r="I40" i="1"/>
  <c r="H40" i="1"/>
  <c r="I43" i="1" l="1"/>
  <c r="G43" i="1"/>
  <c r="H43" i="1"/>
</calcChain>
</file>

<file path=xl/sharedStrings.xml><?xml version="1.0" encoding="utf-8"?>
<sst xmlns="http://schemas.openxmlformats.org/spreadsheetml/2006/main" count="823" uniqueCount="355">
  <si>
    <t xml:space="preserve">Match Sheet Skater Hockey                        Spielbericht Inline Hockey                         Rapport de jeu                                             Rapporto di gara                                        </t>
  </si>
  <si>
    <t>Goals/Torschützen/Buts/Reti</t>
  </si>
  <si>
    <t>Penalties/Strafen/Punitions</t>
  </si>
  <si>
    <t>Nr. No.</t>
  </si>
  <si>
    <t>Surname/Name                 Forname/Vorname        Nom/Prénom                     Nome/Cognome</t>
  </si>
  <si>
    <t>Card/Pass</t>
  </si>
  <si>
    <t>Time</t>
  </si>
  <si>
    <t>G</t>
  </si>
  <si>
    <t>A</t>
  </si>
  <si>
    <t>T</t>
  </si>
  <si>
    <t>On/</t>
  </si>
  <si>
    <t>Nummer
Strafzeit</t>
  </si>
  <si>
    <t>Lic./Tess</t>
  </si>
  <si>
    <t>Zeit</t>
  </si>
  <si>
    <t>min</t>
  </si>
  <si>
    <t>Ende/</t>
  </si>
  <si>
    <t>code</t>
  </si>
  <si>
    <t>No.</t>
  </si>
  <si>
    <t>Temps</t>
  </si>
  <si>
    <t>Fin/Fine</t>
  </si>
  <si>
    <t>C</t>
  </si>
  <si>
    <r>
      <t xml:space="preserve">   </t>
    </r>
    <r>
      <rPr>
        <sz val="8"/>
        <rFont val="Arial"/>
        <family val="2"/>
      </rPr>
      <t>Team/Mannschaft/Club/Società</t>
    </r>
  </si>
  <si>
    <t>League/Liga</t>
  </si>
  <si>
    <t>Ligue/ Lega</t>
  </si>
  <si>
    <t>CLUB 1</t>
  </si>
  <si>
    <t>F</t>
  </si>
  <si>
    <t>CLUB 2</t>
  </si>
  <si>
    <t>Location/Ort/</t>
  </si>
  <si>
    <t>Date/Datum/</t>
  </si>
  <si>
    <t>Lieu/Luogo</t>
  </si>
  <si>
    <t>Date/Data</t>
  </si>
  <si>
    <t>Start/Beginn/</t>
  </si>
  <si>
    <t>End/Ende/</t>
  </si>
  <si>
    <t>Match Number/Spiel-Nr./</t>
  </si>
  <si>
    <t>Début/Inizio</t>
  </si>
  <si>
    <t>Index/Indice di gara</t>
  </si>
  <si>
    <t>Champoinship/Meisterschaft./Championnat</t>
  </si>
  <si>
    <t>Friendly/Freundschaft/Amical</t>
  </si>
  <si>
    <t>Tournament/Turnier/Tournoi/Torneo</t>
  </si>
  <si>
    <t>Cup/Pokal/Coupe/Coppa</t>
  </si>
  <si>
    <t>Other/Sonstiges/Autre/Altro</t>
  </si>
  <si>
    <t>Spectators/Zuschauer/Spectateurs</t>
  </si>
  <si>
    <r>
      <t>Card/Liz.</t>
    </r>
    <r>
      <rPr>
        <b/>
        <sz val="7"/>
        <rFont val="Arial"/>
        <family val="2"/>
      </rPr>
      <t>No.</t>
    </r>
  </si>
  <si>
    <t>Surname/Name</t>
  </si>
  <si>
    <t>Forename/Vorname</t>
  </si>
  <si>
    <t>Signature</t>
  </si>
  <si>
    <t>Nom/Prénom</t>
  </si>
  <si>
    <t>Cognome/Nome</t>
  </si>
  <si>
    <t>Unterschrift/Firma</t>
  </si>
  <si>
    <t>Time Keeper</t>
  </si>
  <si>
    <t>Zeitnehmer</t>
  </si>
  <si>
    <t>COACH</t>
  </si>
  <si>
    <t>Surname/Name Forname/Vorname Nom/Prénom     Nome/Cognome</t>
  </si>
  <si>
    <t>Chronométreur</t>
  </si>
  <si>
    <t>Unterschrift</t>
  </si>
  <si>
    <t>Official scorer</t>
  </si>
  <si>
    <t>Firma</t>
  </si>
  <si>
    <t>TOTAL</t>
  </si>
  <si>
    <t>Assistent</t>
  </si>
  <si>
    <t>Marqueur</t>
  </si>
  <si>
    <t>TIME OUT</t>
  </si>
  <si>
    <t>min.</t>
  </si>
  <si>
    <t>Referee</t>
  </si>
  <si>
    <t>Schiedrichter 1</t>
  </si>
  <si>
    <t>Arbitre</t>
  </si>
  <si>
    <t>Schiedrichter 2</t>
  </si>
  <si>
    <t>Tecn. Director</t>
  </si>
  <si>
    <t>Directeur tech.</t>
  </si>
  <si>
    <t>RESULT</t>
  </si>
  <si>
    <t>PERIOD SCORE/ZWISCHENSTAND</t>
  </si>
  <si>
    <t>FINAL</t>
  </si>
  <si>
    <t>INTERMEDIAIRE/INTERMEDIO</t>
  </si>
  <si>
    <t>1 Time/Drittel</t>
  </si>
  <si>
    <t>Tiers/Tempo</t>
  </si>
  <si>
    <t>2 Time/Drittel</t>
  </si>
  <si>
    <t>Winner/Gewinner/Vainqueur/Vincitore</t>
  </si>
  <si>
    <t>3 Time/Drittel</t>
  </si>
  <si>
    <r>
      <t xml:space="preserve">CAPTAIN 1 </t>
    </r>
    <r>
      <rPr>
        <sz val="6"/>
        <rFont val="Arial"/>
        <family val="2"/>
      </rPr>
      <t>Signature/Unterschrift</t>
    </r>
  </si>
  <si>
    <t>Overtime/Verl.</t>
  </si>
  <si>
    <t>Prol./Sup.</t>
  </si>
  <si>
    <r>
      <t xml:space="preserve">CAPTAIN 2 </t>
    </r>
    <r>
      <rPr>
        <sz val="6"/>
        <rFont val="Arial"/>
        <family val="2"/>
      </rPr>
      <t>Signature/Unterschrift</t>
    </r>
  </si>
  <si>
    <t>Penalty/</t>
  </si>
  <si>
    <t>Rigori</t>
  </si>
  <si>
    <t>Referees Comments</t>
  </si>
  <si>
    <t>SR-Bemerkungen</t>
  </si>
  <si>
    <t>Remarques arb.</t>
  </si>
  <si>
    <t>Osservazioni arb.</t>
  </si>
  <si>
    <t>SPECIAL EVENT/BESONDERER VORFALL/EVENEMENT SPECIAL/EVENTO SPECIAL</t>
  </si>
  <si>
    <t>Inline-Skaterhockey Deutschland (ISHD)</t>
  </si>
  <si>
    <t>Spielort</t>
  </si>
  <si>
    <t>Datum</t>
  </si>
  <si>
    <t>-</t>
  </si>
  <si>
    <t>Heimmannschaft</t>
  </si>
  <si>
    <t>Gastmannschaft</t>
  </si>
  <si>
    <t>Schiedsrichter 1</t>
  </si>
  <si>
    <t>Schiedsrichter 2</t>
  </si>
  <si>
    <t>Nachname</t>
  </si>
  <si>
    <t>Vorname</t>
  </si>
  <si>
    <t>Drittel 1</t>
  </si>
  <si>
    <t>Drittel 2</t>
  </si>
  <si>
    <t>Drittel 3</t>
  </si>
  <si>
    <t>Overtime</t>
  </si>
  <si>
    <t>Codes</t>
  </si>
  <si>
    <t>B</t>
  </si>
  <si>
    <t>D</t>
  </si>
  <si>
    <t>E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</si>
  <si>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</si>
  <si>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</si>
  <si>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</si>
  <si>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</si>
  <si>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</si>
  <si>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</si>
  <si>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</si>
  <si>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</si>
  <si>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</si>
  <si>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</si>
  <si>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</si>
  <si>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</si>
  <si>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W</t>
  </si>
  <si>
    <t>X</t>
  </si>
  <si>
    <t>Y</t>
  </si>
  <si>
    <t>ZA</t>
  </si>
  <si>
    <t>ZB</t>
  </si>
  <si>
    <t>ZC</t>
  </si>
  <si>
    <t>Strafen</t>
  </si>
  <si>
    <t>MP</t>
  </si>
  <si>
    <t>5+GM</t>
  </si>
  <si>
    <t>GM</t>
  </si>
  <si>
    <t>10+GM</t>
  </si>
  <si>
    <t>Trikotnummer</t>
  </si>
  <si>
    <t>Funktion</t>
  </si>
  <si>
    <t>Passnummer</t>
  </si>
  <si>
    <t>Liga:</t>
  </si>
  <si>
    <t>Spieleranzahl:</t>
  </si>
  <si>
    <t>2.5+GM</t>
  </si>
  <si>
    <t>Count</t>
  </si>
  <si>
    <t>Count Strafe</t>
  </si>
  <si>
    <t>AnzahlDrittel</t>
  </si>
  <si>
    <t>Liga</t>
  </si>
  <si>
    <t>Verlängerung</t>
  </si>
  <si>
    <t>Club1</t>
  </si>
  <si>
    <t>Club2</t>
  </si>
  <si>
    <t>Overtime?</t>
  </si>
  <si>
    <t>Heim 1</t>
  </si>
  <si>
    <t>Heim 2</t>
  </si>
  <si>
    <t>Gast 1</t>
  </si>
  <si>
    <t>Gast 2</t>
  </si>
  <si>
    <t>Gast 3</t>
  </si>
  <si>
    <t>Heim 3</t>
  </si>
  <si>
    <t>Heim 4</t>
  </si>
  <si>
    <t>Gast 4</t>
  </si>
  <si>
    <t>GWG?</t>
  </si>
  <si>
    <t>Verstöße bitte im Zusatzblatt "Besondere Vorkommnisse" erfassen!</t>
  </si>
  <si>
    <t>e-Zusatzblatt zum Spielbericht</t>
  </si>
  <si>
    <t>30 Minuten vor Spielbeginn</t>
  </si>
  <si>
    <t>Checkliste für die Zeitnehmer</t>
  </si>
  <si>
    <t>Checkliste für die Schiedsrichter</t>
  </si>
  <si>
    <t>Rechtzeitig vor Spielbeginn</t>
  </si>
  <si>
    <t>Ausrüstung am Zeitnehmertisch</t>
  </si>
  <si>
    <t>Spielfeld-Ausrüstung</t>
  </si>
  <si>
    <t>Nach dem Spiel</t>
  </si>
  <si>
    <t>Schiedsrichterbezahlung</t>
  </si>
  <si>
    <t>Schiedsricherausweise kontrollieren</t>
  </si>
  <si>
    <t>Offizielles Schiedsrichtertrikot*</t>
  </si>
  <si>
    <t>Offizielle Schiedsrichterhose*</t>
  </si>
  <si>
    <t>Kartensatz*</t>
  </si>
  <si>
    <t>Schiedsrichterpfeife mit Fingergriff</t>
  </si>
  <si>
    <t>Inlineskates od. Rollschuhe</t>
  </si>
  <si>
    <t>Schwarzer Helm</t>
  </si>
  <si>
    <t>*gemäß den veröffentlichten Richtlinien</t>
  </si>
  <si>
    <t>Aufstellung und Spielerpässe kontrollieren</t>
  </si>
  <si>
    <t>Spielerkleidung (Hosen &amp; Trikots)</t>
  </si>
  <si>
    <t>Teamoffizielle gemäß Aufstellung</t>
  </si>
  <si>
    <t>Zweiter Trikotsatz (bei Bedarf)</t>
  </si>
  <si>
    <t>Spielfeldrundungen und Anzeigetafel</t>
  </si>
  <si>
    <r>
      <t xml:space="preserve">Schiedsrichter anwesend </t>
    </r>
    <r>
      <rPr>
        <sz val="7"/>
        <color theme="1"/>
        <rFont val="Calibri"/>
        <family val="2"/>
        <scheme val="minor"/>
      </rPr>
      <t>(s. Daten auf Spielbericht)</t>
    </r>
  </si>
  <si>
    <r>
      <t xml:space="preserve">Schiedsrichterausrüstung </t>
    </r>
    <r>
      <rPr>
        <sz val="7"/>
        <color theme="1"/>
        <rFont val="Calibri"/>
        <family val="2"/>
        <scheme val="minor"/>
      </rPr>
      <t>(gem. §64 WKO)</t>
    </r>
  </si>
  <si>
    <r>
      <t xml:space="preserve">BL-Bestimmungen </t>
    </r>
    <r>
      <rPr>
        <sz val="7"/>
        <color theme="1"/>
        <rFont val="Calibri"/>
        <family val="2"/>
        <scheme val="minor"/>
      </rPr>
      <t>(gem. §§52 &amp; 53 WKO)</t>
    </r>
  </si>
  <si>
    <r>
      <t xml:space="preserve">Trikots, Spielerzahl </t>
    </r>
    <r>
      <rPr>
        <sz val="7"/>
        <color theme="1"/>
        <rFont val="Calibri"/>
        <family val="2"/>
        <scheme val="minor"/>
      </rPr>
      <t>(1.BL: 10+2 / 2.BL: 8+1 / 1.DBL: 6+1)</t>
    </r>
  </si>
  <si>
    <t xml:space="preserve">gültige Nutzungserlaubnis, Nr.: </t>
  </si>
  <si>
    <t>Bandmaß (mind. 2 Meter)</t>
  </si>
  <si>
    <t>2 Sätze Schiedsrichterkarten, 2 Pfeifen</t>
  </si>
  <si>
    <t>10 offizielle Bälle</t>
  </si>
  <si>
    <t>Manuelle Toranzeige, Ersatz-Tonquelle</t>
  </si>
  <si>
    <t>EH-Ausrüstung &amp; Ersthelfer / Name:</t>
  </si>
  <si>
    <t>Handelsüblicher Lappen (Wischtuch)</t>
  </si>
  <si>
    <t>Spielregeln &amp; WKO in der gültigen Fassung</t>
  </si>
  <si>
    <t>Spielberichtsbogen, Spieluhr, 1 Spielball*</t>
  </si>
  <si>
    <t>Umkleideräume Gast u. Schiedsrichter</t>
  </si>
  <si>
    <t>Spieler- und Strafbänke, Zeitnehmertisch*</t>
  </si>
  <si>
    <t>Zwei maßgerechte Tore mit Tornetzen*</t>
  </si>
  <si>
    <t>Trinkflaschenhalter an beiden Toren</t>
  </si>
  <si>
    <t>Fangnetze in beiden Toren</t>
  </si>
  <si>
    <t>Saubere Spielfläche u. befestigte Bande*</t>
  </si>
  <si>
    <t>Pflichtlinien (Torraum, Bully, Abstandslinien)*</t>
  </si>
  <si>
    <t>* Bei Fehlen dieser Ausrüstung darf das Spiel nicht angepfiffen werden!</t>
  </si>
  <si>
    <t>(Anfahrtskosten sind anteilig auf die Anzahl der geleiteten Spiele zu verteilen)</t>
  </si>
  <si>
    <t>Gesamt</t>
  </si>
  <si>
    <t>Spielgebühren</t>
  </si>
  <si>
    <t>Fahrkosten</t>
  </si>
  <si>
    <t>Spielbericht und Zusatzblätter unterschreiben lassen + ausreichend frankierter &amp; korrekt adressierter Briefumschlag!</t>
  </si>
  <si>
    <t>Mit ihrer Unterschrift bestätigen die Unterzeichner die korrekte Prüfung der Checklisten bzw. die Kenntnisnahme der Ausführungen.</t>
  </si>
  <si>
    <t>Unterschrift Schiedsrichter 2</t>
  </si>
  <si>
    <t>Unterschrift Schiedsrichter 1</t>
  </si>
  <si>
    <t>Unterschrift Zeitnehmer 1</t>
  </si>
  <si>
    <t>Unterschrift Heimmannschaft</t>
  </si>
  <si>
    <t>Unterschrift Gastmannschaft</t>
  </si>
  <si>
    <t>Düsseldorf</t>
  </si>
  <si>
    <t>Zum Schluss!</t>
  </si>
  <si>
    <t>Heimverein</t>
  </si>
  <si>
    <t>Gastverein</t>
  </si>
  <si>
    <t>Beginn*:</t>
  </si>
  <si>
    <t>* Bitte ankreuzen, welches Team das Penaltyschießen beginnt.</t>
  </si>
  <si>
    <t>e-Penaltyschießen</t>
  </si>
  <si>
    <t>Spielnummer:</t>
  </si>
  <si>
    <t>Torhüter (1)</t>
  </si>
  <si>
    <t>Trikot-Nr.</t>
  </si>
  <si>
    <t>Name, Vorname</t>
  </si>
  <si>
    <t>ja</t>
  </si>
  <si>
    <t>nein</t>
  </si>
  <si>
    <t>Torerfolg</t>
  </si>
  <si>
    <t>Feldspieler (5)</t>
  </si>
  <si>
    <t>Ab hier Shoot-Out</t>
  </si>
  <si>
    <t>Bemerkung:</t>
  </si>
  <si>
    <t>Sollte keine Entscheidung gefallen sein, wird der Shoot-Out in der selben Reihenfolge, mit denselben Feldspielern fortgesetzt.</t>
  </si>
  <si>
    <t>Sollte keine Entscheidung gefallen sein, wird der Shoot-Out in derselben Reihenfolge, mit denselben Feldspielern fortgesetzt
(für die Fortsetzung bitte separates Blatt benutzen).</t>
  </si>
  <si>
    <t>e-Besondere Vorkommnisse</t>
  </si>
  <si>
    <t>Unterschrift Kapitän / Assistent / Teamoffizieller der betreffenden Mannschaft</t>
  </si>
  <si>
    <t>Mit ihrer Unterschrift bestätigen die Schiedsrichter die wahrheitsgemäße und sachlich korrekte Darstellung.</t>
  </si>
  <si>
    <r>
      <rPr>
        <b/>
        <sz val="8"/>
        <rFont val="Arial"/>
        <family val="2"/>
      </rPr>
      <t>Nur bei Matchstrafe:</t>
    </r>
    <r>
      <rPr>
        <sz val="8"/>
        <rFont val="Arial"/>
        <family val="2"/>
      </rPr>
      <t xml:space="preserve"> Mit seiner Unterschrift bestätigt der Kapitän / Assistent die Kenntisnahme der o.a. Matchstrafe gegen den o.a. Spieler seiner Mannschaft</t>
    </r>
  </si>
  <si>
    <t>Schiedsrichter 1 / Verein</t>
  </si>
  <si>
    <t>Telefonnummer</t>
  </si>
  <si>
    <t>Schiedsrichter 2 / Verein</t>
  </si>
  <si>
    <t>ggf. weitere Zeugen</t>
  </si>
  <si>
    <r>
      <t xml:space="preserve">Betroffene Person </t>
    </r>
    <r>
      <rPr>
        <sz val="8"/>
        <color theme="1"/>
        <rFont val="Calibri"/>
        <family val="2"/>
        <scheme val="minor"/>
      </rPr>
      <t>(Für jede betroffene Person und für jeden Vorfall ist ein separates Blatt auszufüllen)</t>
    </r>
  </si>
  <si>
    <t>Vorname und Nachname / Verein</t>
  </si>
  <si>
    <t>Drittel / Spielzeit oder Uhrzeit des Vergehens</t>
  </si>
  <si>
    <r>
      <t xml:space="preserve">Detaillierte Beschreibung des Vorfalls </t>
    </r>
    <r>
      <rPr>
        <sz val="8"/>
        <color theme="1"/>
        <rFont val="Calibri"/>
        <family val="2"/>
        <scheme val="minor"/>
      </rPr>
      <t xml:space="preserve">(ggf. Rückseite verwenden und dort </t>
    </r>
    <r>
      <rPr>
        <u/>
        <sz val="8"/>
        <color theme="1"/>
        <rFont val="Calibri"/>
        <family val="2"/>
        <scheme val="minor"/>
      </rPr>
      <t>nochmals</t>
    </r>
    <r>
      <rPr>
        <sz val="8"/>
        <color theme="1"/>
        <rFont val="Calibri"/>
        <family val="2"/>
        <scheme val="minor"/>
      </rPr>
      <t xml:space="preserve"> unterschreiben!)</t>
    </r>
  </si>
  <si>
    <t>Angaben erfolgten durch</t>
  </si>
  <si>
    <t xml:space="preserve">Bei Matchstrafen bitte beantworten (und in der Beschreibung erläutern):
</t>
  </si>
  <si>
    <t>Grund der Matchstrafe:</t>
  </si>
  <si>
    <t>Der gefoulte Spieler wurde verletzt</t>
  </si>
  <si>
    <t>Der Spieler konnte das Spiel nicht fortsetzen</t>
  </si>
  <si>
    <t>Rettungsdienst wurde gerufen</t>
  </si>
  <si>
    <t>Startzeit</t>
  </si>
  <si>
    <t>Endzeit</t>
  </si>
  <si>
    <t>Spieltyp</t>
  </si>
  <si>
    <t>Zeitnehmer 1</t>
  </si>
  <si>
    <t>Zeitnehmer 2</t>
  </si>
  <si>
    <t>Tech. Direktor</t>
  </si>
  <si>
    <t>Meisterschaft</t>
  </si>
  <si>
    <t>Zuschauer</t>
  </si>
  <si>
    <t>Pokal</t>
  </si>
  <si>
    <t>Turnier</t>
  </si>
  <si>
    <t>Freundschaft/Sonstiges</t>
  </si>
  <si>
    <t>Deutscher Rollsport und Inline Verband e.V.</t>
  </si>
  <si>
    <t>Setup zum Spiel</t>
  </si>
  <si>
    <t>Anzahl</t>
  </si>
  <si>
    <t>Spielzeit/Abschnitt</t>
  </si>
  <si>
    <t>Reguläre Spielzeit</t>
  </si>
  <si>
    <t>Spielzeiten</t>
  </si>
  <si>
    <t>Verein</t>
  </si>
  <si>
    <t>Spielbeginn / -ende</t>
  </si>
  <si>
    <r>
      <t xml:space="preserve">Anwesende Offizielle </t>
    </r>
    <r>
      <rPr>
        <sz val="8"/>
        <color theme="1"/>
        <rFont val="Calibri"/>
        <family val="2"/>
        <scheme val="minor"/>
      </rPr>
      <t>(nur bei Matchstrafe oder Disziplinarvergehen ausfüllen)</t>
    </r>
  </si>
  <si>
    <r>
      <t xml:space="preserve">Zeitnehmer anwesend </t>
    </r>
    <r>
      <rPr>
        <sz val="7"/>
        <color theme="1"/>
        <rFont val="Calibri"/>
        <family val="2"/>
        <scheme val="minor"/>
      </rPr>
      <t>(s. Daten auf Spielbericht)</t>
    </r>
  </si>
  <si>
    <t>Code</t>
  </si>
  <si>
    <t>BV kopieren?</t>
  </si>
  <si>
    <t>Mannschaft 1:</t>
  </si>
  <si>
    <t>Mannschaft 2:</t>
  </si>
  <si>
    <t>Fehler?</t>
  </si>
  <si>
    <t>Spielnummer*</t>
  </si>
  <si>
    <t>* kein Pflichtfeld</t>
  </si>
  <si>
    <t>Version:</t>
  </si>
  <si>
    <t>Aufwandsentschädigung</t>
  </si>
  <si>
    <t>Coach</t>
  </si>
  <si>
    <t>Sind ausreichend Ordner vorhanden/gekennzeichnet</t>
  </si>
  <si>
    <r>
      <t xml:space="preserve">Trainer &amp; -Lizenznummer </t>
    </r>
    <r>
      <rPr>
        <sz val="7"/>
        <color theme="1"/>
        <rFont val="Calibri"/>
        <family val="2"/>
        <scheme val="minor"/>
      </rPr>
      <t>(s. Mannschaftsaufstellung)</t>
    </r>
  </si>
  <si>
    <t>SR1: Spiel</t>
  </si>
  <si>
    <t>von</t>
  </si>
  <si>
    <t>SR2: Spiel</t>
  </si>
  <si>
    <t>Pass</t>
  </si>
  <si>
    <t>Card</t>
  </si>
  <si>
    <t>Surname                               Forname
Name                                    Vorname</t>
  </si>
  <si>
    <t>Ende</t>
  </si>
  <si>
    <t>Fine</t>
  </si>
  <si>
    <t>Penalties/Strafen</t>
  </si>
  <si>
    <t>Goals/Torschützen</t>
  </si>
  <si>
    <t>ZWISCHENSTAND</t>
  </si>
  <si>
    <t>PERIOD SCORE</t>
  </si>
  <si>
    <t>Winner / Gewinner</t>
  </si>
  <si>
    <t>League</t>
  </si>
  <si>
    <r>
      <t xml:space="preserve">   </t>
    </r>
    <r>
      <rPr>
        <sz val="8"/>
        <rFont val="Arial"/>
        <family val="2"/>
      </rPr>
      <t>Team / Mannschaft</t>
    </r>
  </si>
  <si>
    <t>Penalty</t>
  </si>
  <si>
    <t>3. Drittel</t>
  </si>
  <si>
    <t>3 Time</t>
  </si>
  <si>
    <t>2. Drittel</t>
  </si>
  <si>
    <t>1 Time</t>
  </si>
  <si>
    <t>1. Drittel</t>
  </si>
  <si>
    <t>2 Time</t>
  </si>
  <si>
    <t>SPECIAL EVENT / BESONDERER VORFALL</t>
  </si>
  <si>
    <t>e-Match Sheet Skaterhockey
e-Spielbericht Skaterhockey</t>
  </si>
  <si>
    <t>Location</t>
  </si>
  <si>
    <t>Date</t>
  </si>
  <si>
    <t>Spiel-Nr.</t>
  </si>
  <si>
    <t>Match Number</t>
  </si>
  <si>
    <t>Friendly / Freundschaft</t>
  </si>
  <si>
    <t>Cup / Pokal</t>
  </si>
  <si>
    <t>Spectators / Zuschauer</t>
  </si>
  <si>
    <t>Start</t>
  </si>
  <si>
    <t>Beginn</t>
  </si>
  <si>
    <t>End</t>
  </si>
  <si>
    <t>Other / Sonstiges</t>
  </si>
  <si>
    <t>Tournament / Turnier</t>
  </si>
  <si>
    <t>Champoinship / Meisterschaft</t>
  </si>
  <si>
    <t>Forname</t>
  </si>
  <si>
    <t>Surname</t>
  </si>
  <si>
    <t>Name</t>
  </si>
  <si>
    <t>Card No.</t>
  </si>
  <si>
    <t>Lizenznummer</t>
  </si>
  <si>
    <t>Surname                        Forname
Name                             Vorname</t>
  </si>
  <si>
    <t>Referee 2
SR 2</t>
  </si>
  <si>
    <t>Referee 1
SR 1</t>
  </si>
  <si>
    <t>19-07-2022</t>
  </si>
  <si>
    <t>a</t>
  </si>
  <si>
    <t>b</t>
  </si>
  <si>
    <t>c</t>
  </si>
  <si>
    <t>d</t>
  </si>
  <si>
    <t>AB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</si>
  <si>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</si>
  <si>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</si>
  <si>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</si>
  <si>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</si>
  <si>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</si>
  <si>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</si>
  <si>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</si>
  <si>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</si>
  <si>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</si>
  <si>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</si>
  <si>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</si>
  <si>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</si>
  <si>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</si>
  <si>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</si>
  <si>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z</t>
  </si>
  <si>
    <t>b-Team</t>
  </si>
  <si>
    <t>a-Team</t>
  </si>
  <si>
    <t>RESULT / ERGEBNIS</t>
  </si>
  <si>
    <t>a-Heim</t>
  </si>
  <si>
    <t>b-Heim</t>
  </si>
  <si>
    <t>22.3.2024_Saison2024</t>
  </si>
  <si>
    <t>5001</t>
  </si>
  <si>
    <t>5002</t>
  </si>
  <si>
    <t>5003</t>
  </si>
  <si>
    <t>5004</t>
  </si>
  <si>
    <t>5005</t>
  </si>
  <si>
    <t>c-Heim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</si>
</sst>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0\:00"/>
    <numFmt numFmtId="167" formatCode="0.0"/>
  </numFmts>
  <fonts count="65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20"/>
      <color indexed="9"/>
      <name val="Arial"/>
      <family val="2"/>
    </font>
    <font>
      <b/>
      <sz val="16"/>
      <color rgb="FF0000FF"/>
      <name val="Jenkins v2.0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8"/>
      <color rgb="FF0000FF"/>
      <name val="Jenkins v2.0"/>
    </font>
    <font>
      <b/>
      <sz val="8"/>
      <color rgb="FF0000FF"/>
      <name val="Arial"/>
      <family val="2"/>
    </font>
    <font>
      <sz val="8"/>
      <name val="Lucida Sans Unicode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2"/>
      <color rgb="FF0000FF"/>
      <name val="Jenkins v2.0"/>
    </font>
    <font>
      <sz val="5"/>
      <name val="Arial"/>
      <family val="2"/>
    </font>
    <font>
      <sz val="6"/>
      <name val="Arial"/>
      <family val="2"/>
    </font>
    <font>
      <sz val="5.5"/>
      <name val="Arial"/>
      <family val="2"/>
    </font>
    <font>
      <b/>
      <sz val="8"/>
      <color indexed="10"/>
      <name val="Jenkins v2.0"/>
    </font>
    <font>
      <b/>
      <sz val="10"/>
      <color rgb="FF0000FF"/>
      <name val="Jenkins v2.0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7"/>
      <color rgb="FF0000FF"/>
      <name val="Jenkins v2.0"/>
    </font>
    <font>
      <sz val="7"/>
      <color rgb="FF0000FF"/>
      <name val="Wingdings"/>
      <charset val="2"/>
    </font>
    <font>
      <b/>
      <sz val="16"/>
      <name val="Arial"/>
      <family val="2"/>
    </font>
    <font>
      <b/>
      <sz val="14"/>
      <name val="Arial"/>
      <family val="2"/>
    </font>
    <font>
      <b/>
      <sz val="16"/>
      <name val="Times New Roman"/>
      <family val="1"/>
    </font>
    <font>
      <sz val="8"/>
      <name val="Times New Roman"/>
      <family val="1"/>
    </font>
    <font>
      <b/>
      <u/>
      <sz val="8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2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sz val="7"/>
      <name val="Wingdings"/>
      <charset val="2"/>
    </font>
    <font>
      <b/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8B8B8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000000"/>
        <bgColor indexed="64"/>
      </patternFill>
    </fill>
    <fill>
      <patternFill patternType="solid">
        <fgColor theme="9"/>
        <bgColor theme="9"/>
      </patternFill>
    </fill>
  </fills>
  <borders count="1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5">
    <xf numFmtId="0" fontId="0" fillId="0" borderId="0"/>
    <xf numFmtId="0" fontId="11" fillId="3" borderId="9">
      <alignment horizontal="center" vertical="center"/>
      <protection locked="0"/>
    </xf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50" fillId="11" borderId="87" applyNumberFormat="0" applyAlignment="0" applyProtection="0"/>
  </cellStyleXfs>
  <cellXfs count="82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36" xfId="0" applyFont="1" applyBorder="1" applyAlignment="1" applyProtection="1">
      <alignment vertical="center"/>
      <protection hidden="1"/>
    </xf>
    <xf numFmtId="0" fontId="6" fillId="0" borderId="37" xfId="0" applyFont="1" applyBorder="1" applyAlignment="1" applyProtection="1">
      <alignment vertical="center"/>
      <protection hidden="1"/>
    </xf>
    <xf numFmtId="0" fontId="14" fillId="0" borderId="38" xfId="0" applyFont="1" applyBorder="1" applyAlignment="1" applyProtection="1">
      <alignment vertical="center"/>
      <protection hidden="1"/>
    </xf>
    <xf numFmtId="0" fontId="6" fillId="0" borderId="28" xfId="0" applyFont="1" applyBorder="1" applyAlignment="1" applyProtection="1">
      <alignment vertical="center"/>
      <protection hidden="1"/>
    </xf>
    <xf numFmtId="0" fontId="6" fillId="0" borderId="39" xfId="0" applyFont="1" applyBorder="1" applyAlignment="1" applyProtection="1">
      <alignment vertical="center"/>
      <protection hidden="1"/>
    </xf>
    <xf numFmtId="0" fontId="14" fillId="0" borderId="29" xfId="0" applyFont="1" applyBorder="1" applyAlignment="1" applyProtection="1">
      <alignment vertical="center"/>
      <protection hidden="1"/>
    </xf>
    <xf numFmtId="0" fontId="17" fillId="0" borderId="28" xfId="0" applyFont="1" applyBorder="1" applyAlignment="1" applyProtection="1">
      <alignment vertical="center"/>
      <protection hidden="1"/>
    </xf>
    <xf numFmtId="0" fontId="18" fillId="0" borderId="29" xfId="0" applyFont="1" applyBorder="1" applyAlignment="1" applyProtection="1">
      <alignment vertical="center"/>
      <protection hidden="1"/>
    </xf>
    <xf numFmtId="0" fontId="18" fillId="0" borderId="30" xfId="0" applyFont="1" applyBorder="1" applyAlignment="1" applyProtection="1">
      <alignment vertical="center"/>
      <protection hidden="1"/>
    </xf>
    <xf numFmtId="0" fontId="17" fillId="0" borderId="39" xfId="0" applyFont="1" applyBorder="1" applyAlignment="1" applyProtection="1">
      <alignment vertical="center"/>
      <protection hidden="1"/>
    </xf>
    <xf numFmtId="0" fontId="17" fillId="0" borderId="30" xfId="0" applyFont="1" applyBorder="1" applyAlignment="1" applyProtection="1">
      <alignment vertical="center"/>
      <protection hidden="1"/>
    </xf>
    <xf numFmtId="0" fontId="19" fillId="0" borderId="40" xfId="0" applyFont="1" applyBorder="1" applyAlignment="1" applyProtection="1">
      <alignment vertical="center"/>
      <protection hidden="1"/>
    </xf>
    <xf numFmtId="0" fontId="18" fillId="0" borderId="20" xfId="0" applyFont="1" applyBorder="1" applyAlignment="1" applyProtection="1">
      <alignment vertical="center"/>
      <protection hidden="1"/>
    </xf>
    <xf numFmtId="0" fontId="18" fillId="0" borderId="21" xfId="0" applyFont="1" applyBorder="1" applyAlignment="1" applyProtection="1">
      <alignment vertical="center"/>
      <protection hidden="1"/>
    </xf>
    <xf numFmtId="0" fontId="17" fillId="0" borderId="19" xfId="0" applyFont="1" applyBorder="1" applyAlignment="1" applyProtection="1">
      <alignment vertical="center"/>
      <protection hidden="1"/>
    </xf>
    <xf numFmtId="0" fontId="17" fillId="0" borderId="21" xfId="0" applyFont="1" applyBorder="1" applyAlignment="1" applyProtection="1">
      <alignment vertical="center"/>
      <protection hidden="1"/>
    </xf>
    <xf numFmtId="0" fontId="18" fillId="0" borderId="41" xfId="0" applyFont="1" applyBorder="1" applyAlignment="1" applyProtection="1">
      <alignment vertical="center"/>
      <protection hidden="1"/>
    </xf>
    <xf numFmtId="0" fontId="18" fillId="0" borderId="42" xfId="0" applyFont="1" applyBorder="1" applyAlignment="1" applyProtection="1">
      <alignment vertical="center"/>
      <protection hidden="1"/>
    </xf>
    <xf numFmtId="0" fontId="18" fillId="0" borderId="43" xfId="0" applyFont="1" applyBorder="1" applyAlignment="1" applyProtection="1">
      <alignment vertical="center"/>
      <protection hidden="1"/>
    </xf>
    <xf numFmtId="0" fontId="17" fillId="0" borderId="43" xfId="0" applyFont="1" applyBorder="1" applyAlignment="1" applyProtection="1">
      <alignment vertical="center"/>
      <protection hidden="1"/>
    </xf>
    <xf numFmtId="0" fontId="22" fillId="2" borderId="4" xfId="0" applyFont="1" applyFill="1" applyBorder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0" fontId="22" fillId="2" borderId="5" xfId="0" applyFont="1" applyFill="1" applyBorder="1" applyAlignment="1" applyProtection="1">
      <alignment vertical="center"/>
      <protection hidden="1"/>
    </xf>
    <xf numFmtId="0" fontId="24" fillId="0" borderId="1" xfId="0" applyFont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24" fillId="0" borderId="26" xfId="0" applyFont="1" applyBorder="1" applyAlignment="1" applyProtection="1">
      <alignment vertical="center"/>
      <protection hidden="1"/>
    </xf>
    <xf numFmtId="0" fontId="0" fillId="0" borderId="59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62" xfId="0" applyBorder="1" applyAlignment="1" applyProtection="1">
      <alignment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6" fillId="0" borderId="38" xfId="0" applyFont="1" applyBorder="1" applyAlignment="1" applyProtection="1">
      <alignment vertical="center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17" fillId="0" borderId="29" xfId="0" applyFont="1" applyBorder="1" applyAlignment="1" applyProtection="1">
      <alignment vertical="center"/>
      <protection hidden="1"/>
    </xf>
    <xf numFmtId="0" fontId="19" fillId="0" borderId="20" xfId="0" applyFont="1" applyBorder="1" applyAlignment="1" applyProtection="1">
      <alignment vertical="center"/>
      <protection hidden="1"/>
    </xf>
    <xf numFmtId="0" fontId="24" fillId="0" borderId="23" xfId="0" applyFont="1" applyBorder="1" applyAlignment="1" applyProtection="1">
      <alignment vertical="center"/>
      <protection hidden="1"/>
    </xf>
    <xf numFmtId="0" fontId="24" fillId="0" borderId="59" xfId="0" applyFont="1" applyBorder="1" applyAlignment="1" applyProtection="1">
      <alignment vertical="center"/>
      <protection hidden="1"/>
    </xf>
    <xf numFmtId="0" fontId="0" fillId="0" borderId="63" xfId="0" applyBorder="1" applyAlignment="1" applyProtection="1">
      <alignment vertical="center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14" fillId="0" borderId="34" xfId="0" applyFont="1" applyBorder="1" applyAlignment="1" applyProtection="1">
      <alignment vertical="center"/>
      <protection hidden="1"/>
    </xf>
    <xf numFmtId="0" fontId="14" fillId="0" borderId="35" xfId="0" applyFont="1" applyBorder="1" applyAlignment="1" applyProtection="1">
      <alignment vertical="center"/>
      <protection hidden="1"/>
    </xf>
    <xf numFmtId="0" fontId="14" fillId="0" borderId="37" xfId="0" applyFont="1" applyBorder="1" applyAlignment="1" applyProtection="1">
      <alignment vertical="center"/>
      <protection hidden="1"/>
    </xf>
    <xf numFmtId="0" fontId="14" fillId="0" borderId="39" xfId="0" applyFont="1" applyBorder="1" applyAlignment="1" applyProtection="1">
      <alignment vertical="center"/>
      <protection hidden="1"/>
    </xf>
    <xf numFmtId="0" fontId="17" fillId="0" borderId="45" xfId="0" applyFont="1" applyBorder="1" applyAlignment="1" applyProtection="1">
      <alignment vertical="center"/>
      <protection hidden="1"/>
    </xf>
    <xf numFmtId="0" fontId="6" fillId="0" borderId="35" xfId="0" applyFont="1" applyBorder="1" applyAlignment="1" applyProtection="1">
      <alignment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6" fillId="0" borderId="13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right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47" xfId="0" applyFont="1" applyBorder="1" applyAlignment="1" applyProtection="1">
      <alignment vertical="center"/>
      <protection hidden="1"/>
    </xf>
    <xf numFmtId="0" fontId="6" fillId="0" borderId="48" xfId="0" applyFont="1" applyBorder="1" applyAlignment="1" applyProtection="1">
      <alignment vertical="center"/>
      <protection hidden="1"/>
    </xf>
    <xf numFmtId="0" fontId="6" fillId="0" borderId="64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/>
      <protection hidden="1"/>
    </xf>
    <xf numFmtId="0" fontId="6" fillId="0" borderId="46" xfId="0" applyFont="1" applyBorder="1" applyAlignment="1" applyProtection="1">
      <alignment vertical="center"/>
      <protection hidden="1"/>
    </xf>
    <xf numFmtId="0" fontId="18" fillId="0" borderId="14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30" xfId="0" applyFont="1" applyBorder="1" applyAlignment="1" applyProtection="1">
      <alignment vertical="center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18" fillId="0" borderId="48" xfId="0" applyFont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18" fillId="0" borderId="56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61" xfId="0" applyFont="1" applyBorder="1" applyAlignment="1" applyProtection="1">
      <alignment horizontal="right" vertical="center"/>
      <protection hidden="1"/>
    </xf>
    <xf numFmtId="167" fontId="11" fillId="4" borderId="18" xfId="0" applyNumberFormat="1" applyFont="1" applyFill="1" applyBorder="1" applyAlignment="1" applyProtection="1">
      <alignment horizontal="center" vertical="center"/>
      <protection hidden="1"/>
    </xf>
    <xf numFmtId="167" fontId="11" fillId="4" borderId="73" xfId="0" applyNumberFormat="1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36" fillId="0" borderId="0" xfId="0" applyFont="1"/>
    <xf numFmtId="0" fontId="36" fillId="0" borderId="74" xfId="0" applyFont="1" applyBorder="1"/>
    <xf numFmtId="0" fontId="36" fillId="0" borderId="75" xfId="0" applyFont="1" applyBorder="1"/>
    <xf numFmtId="0" fontId="0" fillId="0" borderId="0" xfId="0" applyAlignment="1" applyProtection="1">
      <alignment horizontal="right" vertical="center"/>
      <protection hidden="1"/>
    </xf>
    <xf numFmtId="166" fontId="0" fillId="0" borderId="0" xfId="0" applyNumberFormat="1" applyAlignment="1" applyProtection="1">
      <alignment horizontal="left" vertical="center"/>
      <protection hidden="1"/>
    </xf>
    <xf numFmtId="0" fontId="0" fillId="0" borderId="0" xfId="0" applyNumberFormat="1" applyAlignment="1" applyProtection="1">
      <alignment horizontal="left" vertical="center"/>
      <protection hidden="1"/>
    </xf>
    <xf numFmtId="165" fontId="0" fillId="0" borderId="0" xfId="2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protection hidden="1"/>
    </xf>
    <xf numFmtId="0" fontId="36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Protection="1">
      <protection hidden="1"/>
    </xf>
    <xf numFmtId="0" fontId="32" fillId="0" borderId="0" xfId="0" applyFont="1" applyAlignment="1" applyProtection="1">
      <alignment horizontal="left" vertical="center" indent="15"/>
      <protection hidden="1"/>
    </xf>
    <xf numFmtId="165" fontId="0" fillId="0" borderId="0" xfId="2" applyFont="1" applyBorder="1" applyProtection="1">
      <protection hidden="1"/>
    </xf>
    <xf numFmtId="165" fontId="5" fillId="0" borderId="0" xfId="2" applyFont="1" applyBorder="1" applyAlignment="1" applyProtection="1">
      <alignment vertical="top"/>
      <protection hidden="1"/>
    </xf>
    <xf numFmtId="165" fontId="0" fillId="0" borderId="0" xfId="2" applyFont="1" applyBorder="1" applyAlignment="1" applyProtection="1">
      <alignment vertical="top"/>
      <protection hidden="1"/>
    </xf>
    <xf numFmtId="165" fontId="0" fillId="0" borderId="0" xfId="2" applyFont="1" applyBorder="1" applyAlignment="1" applyProtection="1">
      <alignment horizontal="left" vertical="top"/>
      <protection hidden="1"/>
    </xf>
    <xf numFmtId="165" fontId="5" fillId="0" borderId="0" xfId="2" applyFont="1" applyBorder="1" applyAlignment="1" applyProtection="1">
      <alignment horizontal="left" vertical="top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11" fillId="0" borderId="33" xfId="0" applyFont="1" applyFill="1" applyBorder="1" applyAlignment="1" applyProtection="1">
      <alignment horizontal="center" vertical="center"/>
      <protection locked="0" hidden="1"/>
    </xf>
    <xf numFmtId="0" fontId="27" fillId="0" borderId="27" xfId="0" applyFont="1" applyFill="1" applyBorder="1" applyAlignment="1" applyProtection="1">
      <alignment horizontal="center" vertical="center"/>
      <protection hidden="1"/>
    </xf>
    <xf numFmtId="49" fontId="6" fillId="0" borderId="12" xfId="0" applyNumberFormat="1" applyFont="1" applyFill="1" applyBorder="1" applyAlignment="1" applyProtection="1">
      <alignment vertical="center"/>
      <protection hidden="1"/>
    </xf>
    <xf numFmtId="49" fontId="6" fillId="0" borderId="13" xfId="0" applyNumberFormat="1" applyFont="1" applyFill="1" applyBorder="1" applyAlignment="1" applyProtection="1">
      <alignment horizontal="center" vertical="center"/>
      <protection hidden="1"/>
    </xf>
    <xf numFmtId="49" fontId="6" fillId="0" borderId="35" xfId="0" applyNumberFormat="1" applyFont="1" applyFill="1" applyBorder="1" applyAlignment="1" applyProtection="1">
      <alignment horizontal="center" vertical="center"/>
      <protection hidden="1"/>
    </xf>
    <xf numFmtId="49" fontId="6" fillId="0" borderId="56" xfId="0" applyNumberFormat="1" applyFont="1" applyFill="1" applyBorder="1" applyAlignment="1" applyProtection="1">
      <alignment vertical="center"/>
      <protection hidden="1"/>
    </xf>
    <xf numFmtId="49" fontId="6" fillId="0" borderId="52" xfId="0" applyNumberFormat="1" applyFont="1" applyFill="1" applyBorder="1" applyAlignment="1" applyProtection="1">
      <alignment horizontal="center" vertical="center"/>
      <protection hidden="1"/>
    </xf>
    <xf numFmtId="49" fontId="6" fillId="0" borderId="52" xfId="0" applyNumberFormat="1" applyFont="1" applyFill="1" applyBorder="1" applyAlignment="1" applyProtection="1">
      <alignment vertical="center"/>
      <protection hidden="1"/>
    </xf>
    <xf numFmtId="49" fontId="6" fillId="0" borderId="58" xfId="0" applyNumberFormat="1" applyFont="1" applyFill="1" applyBorder="1" applyAlignment="1" applyProtection="1">
      <alignment vertical="center"/>
      <protection hidden="1"/>
    </xf>
    <xf numFmtId="0" fontId="12" fillId="8" borderId="18" xfId="0" applyFont="1" applyFill="1" applyBorder="1" applyAlignment="1" applyProtection="1">
      <alignment horizontal="center" vertical="center"/>
      <protection hidden="1"/>
    </xf>
    <xf numFmtId="0" fontId="11" fillId="8" borderId="18" xfId="0" applyFont="1" applyFill="1" applyBorder="1" applyAlignment="1" applyProtection="1">
      <alignment horizontal="center" vertical="center"/>
      <protection hidden="1"/>
    </xf>
    <xf numFmtId="166" fontId="11" fillId="8" borderId="17" xfId="0" applyNumberFormat="1" applyFont="1" applyFill="1" applyBorder="1" applyAlignment="1" applyProtection="1">
      <alignment horizontal="center" vertical="center"/>
      <protection locked="0"/>
    </xf>
    <xf numFmtId="1" fontId="11" fillId="8" borderId="18" xfId="0" applyNumberFormat="1" applyFont="1" applyFill="1" applyBorder="1" applyAlignment="1" applyProtection="1">
      <alignment horizontal="center" vertical="center"/>
      <protection locked="0"/>
    </xf>
    <xf numFmtId="0" fontId="11" fillId="8" borderId="22" xfId="0" applyFont="1" applyFill="1" applyBorder="1" applyAlignment="1" applyProtection="1">
      <alignment horizontal="center" vertical="center"/>
      <protection hidden="1"/>
    </xf>
    <xf numFmtId="0" fontId="11" fillId="8" borderId="18" xfId="0" quotePrefix="1" applyFont="1" applyFill="1" applyBorder="1" applyAlignment="1" applyProtection="1">
      <alignment horizontal="center" vertical="center"/>
      <protection locked="0"/>
    </xf>
    <xf numFmtId="167" fontId="11" fillId="8" borderId="18" xfId="0" applyNumberFormat="1" applyFont="1" applyFill="1" applyBorder="1" applyAlignment="1" applyProtection="1">
      <alignment horizontal="center" vertical="center"/>
      <protection hidden="1"/>
    </xf>
    <xf numFmtId="166" fontId="11" fillId="8" borderId="18" xfId="0" applyNumberFormat="1" applyFont="1" applyFill="1" applyBorder="1" applyAlignment="1" applyProtection="1">
      <alignment horizontal="center" vertical="center"/>
      <protection locked="0"/>
    </xf>
    <xf numFmtId="49" fontId="11" fillId="8" borderId="22" xfId="0" applyNumberFormat="1" applyFont="1" applyFill="1" applyBorder="1" applyAlignment="1" applyProtection="1">
      <alignment horizontal="center" vertical="center"/>
      <protection locked="0"/>
    </xf>
    <xf numFmtId="0" fontId="11" fillId="8" borderId="18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 vertical="center"/>
      <protection hidden="1"/>
    </xf>
    <xf numFmtId="0" fontId="11" fillId="5" borderId="21" xfId="0" applyFont="1" applyFill="1" applyBorder="1" applyAlignment="1" applyProtection="1">
      <alignment horizontal="center" vertical="center"/>
      <protection hidden="1"/>
    </xf>
    <xf numFmtId="0" fontId="11" fillId="5" borderId="25" xfId="0" applyFont="1" applyFill="1" applyBorder="1" applyAlignment="1" applyProtection="1">
      <alignment horizontal="center" vertical="center"/>
      <protection hidden="1"/>
    </xf>
    <xf numFmtId="0" fontId="11" fillId="5" borderId="72" xfId="0" applyFont="1" applyFill="1" applyBorder="1" applyAlignment="1" applyProtection="1">
      <alignment horizontal="center" vertical="center"/>
      <protection hidden="1"/>
    </xf>
    <xf numFmtId="0" fontId="11" fillId="5" borderId="17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 applyProtection="1">
      <alignment horizontal="center" vertical="center"/>
      <protection hidden="1"/>
    </xf>
    <xf numFmtId="0" fontId="11" fillId="0" borderId="44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8" fillId="0" borderId="77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0" fillId="0" borderId="77" xfId="0" applyFill="1" applyBorder="1" applyAlignment="1" applyProtection="1">
      <alignment vertical="center"/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43" fillId="0" borderId="0" xfId="0" applyFont="1" applyAlignment="1" applyProtection="1">
      <alignment vertical="center"/>
      <protection hidden="1"/>
    </xf>
    <xf numFmtId="0" fontId="37" fillId="0" borderId="0" xfId="0" applyFont="1" applyFill="1" applyAlignment="1" applyProtection="1">
      <protection hidden="1"/>
    </xf>
    <xf numFmtId="0" fontId="0" fillId="0" borderId="25" xfId="0" applyFill="1" applyBorder="1" applyAlignment="1" applyProtection="1">
      <alignment horizontal="center" vertical="center"/>
      <protection hidden="1"/>
    </xf>
    <xf numFmtId="0" fontId="44" fillId="0" borderId="0" xfId="0" applyFont="1" applyFill="1" applyAlignment="1" applyProtection="1">
      <alignment horizontal="center" vertical="center"/>
      <protection hidden="1"/>
    </xf>
    <xf numFmtId="0" fontId="37" fillId="0" borderId="2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1" fillId="5" borderId="19" xfId="0" applyFont="1" applyFill="1" applyBorder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protection hidden="1"/>
    </xf>
    <xf numFmtId="0" fontId="43" fillId="0" borderId="0" xfId="0" applyFont="1" applyAlignment="1" applyProtection="1">
      <protection hidden="1"/>
    </xf>
    <xf numFmtId="0" fontId="0" fillId="7" borderId="0" xfId="0" applyFill="1" applyBorder="1" applyAlignment="1" applyProtection="1">
      <alignment vertical="center"/>
      <protection hidden="1"/>
    </xf>
    <xf numFmtId="0" fontId="0" fillId="7" borderId="82" xfId="0" applyFill="1" applyBorder="1" applyAlignment="1" applyProtection="1">
      <alignment vertical="center"/>
      <protection hidden="1"/>
    </xf>
    <xf numFmtId="0" fontId="0" fillId="7" borderId="76" xfId="0" applyFill="1" applyBorder="1" applyAlignment="1" applyProtection="1">
      <alignment vertical="center"/>
      <protection hidden="1"/>
    </xf>
    <xf numFmtId="0" fontId="0" fillId="7" borderId="79" xfId="0" applyFill="1" applyBorder="1" applyAlignment="1" applyProtection="1">
      <alignment vertical="center"/>
      <protection hidden="1"/>
    </xf>
    <xf numFmtId="0" fontId="0" fillId="7" borderId="81" xfId="0" applyFill="1" applyBorder="1" applyAlignment="1" applyProtection="1">
      <alignment vertical="center"/>
      <protection hidden="1"/>
    </xf>
    <xf numFmtId="0" fontId="0" fillId="7" borderId="78" xfId="0" applyFill="1" applyBorder="1" applyAlignment="1" applyProtection="1">
      <alignment vertical="center"/>
      <protection hidden="1"/>
    </xf>
    <xf numFmtId="0" fontId="0" fillId="7" borderId="80" xfId="0" applyFill="1" applyBorder="1" applyAlignment="1" applyProtection="1">
      <alignment vertical="center"/>
      <protection hidden="1"/>
    </xf>
    <xf numFmtId="0" fontId="0" fillId="7" borderId="83" xfId="0" applyFill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37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protection hidden="1"/>
    </xf>
    <xf numFmtId="0" fontId="41" fillId="0" borderId="0" xfId="0" applyFont="1" applyAlignment="1" applyProtection="1">
      <protection hidden="1"/>
    </xf>
    <xf numFmtId="0" fontId="0" fillId="0" borderId="0" xfId="0" applyFill="1" applyAlignment="1" applyProtection="1">
      <protection hidden="1"/>
    </xf>
    <xf numFmtId="165" fontId="0" fillId="10" borderId="0" xfId="2" applyFont="1" applyFill="1" applyBorder="1" applyAlignment="1" applyProtection="1">
      <alignment horizontal="center"/>
      <protection hidden="1"/>
    </xf>
    <xf numFmtId="0" fontId="37" fillId="10" borderId="0" xfId="0" applyFont="1" applyFill="1" applyAlignment="1" applyProtection="1">
      <alignment vertical="top"/>
      <protection hidden="1"/>
    </xf>
    <xf numFmtId="0" fontId="37" fillId="10" borderId="0" xfId="0" applyFont="1" applyFill="1" applyAlignment="1" applyProtection="1">
      <protection hidden="1"/>
    </xf>
    <xf numFmtId="0" fontId="43" fillId="10" borderId="0" xfId="0" applyFont="1" applyFill="1" applyAlignment="1" applyProtection="1">
      <protection hidden="1"/>
    </xf>
    <xf numFmtId="0" fontId="0" fillId="10" borderId="0" xfId="0" applyFill="1" applyProtection="1">
      <protection hidden="1"/>
    </xf>
    <xf numFmtId="0" fontId="44" fillId="10" borderId="0" xfId="0" applyFont="1" applyFill="1" applyAlignment="1" applyProtection="1">
      <protection hidden="1"/>
    </xf>
    <xf numFmtId="0" fontId="33" fillId="0" borderId="0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0" fontId="37" fillId="0" borderId="65" xfId="0" applyFont="1" applyFill="1" applyBorder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5" fillId="0" borderId="0" xfId="0" applyFont="1" applyFill="1" applyAlignment="1" applyProtection="1">
      <alignment horizontal="left" vertical="center"/>
      <protection hidden="1"/>
    </xf>
    <xf numFmtId="0" fontId="42" fillId="0" borderId="0" xfId="0" applyFont="1" applyFill="1" applyAlignment="1" applyProtection="1">
      <alignment horizontal="center"/>
      <protection hidden="1"/>
    </xf>
    <xf numFmtId="0" fontId="45" fillId="0" borderId="88" xfId="0" applyFont="1" applyBorder="1" applyAlignment="1" applyProtection="1">
      <alignment horizontal="left" vertical="center"/>
      <protection hidden="1"/>
    </xf>
    <xf numFmtId="0" fontId="45" fillId="0" borderId="0" xfId="0" applyFont="1" applyFill="1" applyAlignment="1" applyProtection="1">
      <alignment vertical="center"/>
      <protection hidden="1"/>
    </xf>
    <xf numFmtId="0" fontId="45" fillId="0" borderId="79" xfId="0" applyFont="1" applyFill="1" applyBorder="1" applyAlignment="1" applyProtection="1">
      <alignment vertical="center"/>
      <protection hidden="1"/>
    </xf>
    <xf numFmtId="0" fontId="45" fillId="0" borderId="88" xfId="0" applyFont="1" applyFill="1" applyBorder="1" applyAlignment="1" applyProtection="1">
      <protection hidden="1"/>
    </xf>
    <xf numFmtId="0" fontId="45" fillId="0" borderId="0" xfId="0" applyFont="1" applyFill="1" applyAlignment="1" applyProtection="1">
      <protection hidden="1"/>
    </xf>
    <xf numFmtId="0" fontId="45" fillId="0" borderId="0" xfId="0" applyFont="1" applyAlignment="1" applyProtection="1">
      <protection hidden="1"/>
    </xf>
    <xf numFmtId="0" fontId="45" fillId="0" borderId="86" xfId="0" applyFont="1" applyBorder="1" applyAlignment="1" applyProtection="1">
      <alignment horizontal="left"/>
      <protection hidden="1"/>
    </xf>
    <xf numFmtId="0" fontId="51" fillId="0" borderId="0" xfId="0" applyFont="1" applyAlignment="1" applyProtection="1">
      <alignment horizontal="left" vertical="center" wrapText="1"/>
      <protection hidden="1"/>
    </xf>
    <xf numFmtId="0" fontId="0" fillId="0" borderId="103" xfId="0" applyBorder="1" applyProtection="1">
      <protection hidden="1"/>
    </xf>
    <xf numFmtId="0" fontId="0" fillId="0" borderId="83" xfId="0" applyBorder="1" applyProtection="1">
      <protection hidden="1"/>
    </xf>
    <xf numFmtId="0" fontId="0" fillId="0" borderId="100" xfId="0" applyBorder="1" applyProtection="1">
      <protection hidden="1"/>
    </xf>
    <xf numFmtId="0" fontId="0" fillId="0" borderId="101" xfId="0" applyBorder="1" applyProtection="1">
      <protection hidden="1"/>
    </xf>
    <xf numFmtId="0" fontId="0" fillId="0" borderId="102" xfId="0" applyBorder="1" applyProtection="1">
      <protection hidden="1"/>
    </xf>
    <xf numFmtId="0" fontId="0" fillId="0" borderId="104" xfId="0" applyBorder="1" applyProtection="1">
      <protection hidden="1"/>
    </xf>
    <xf numFmtId="0" fontId="0" fillId="0" borderId="97" xfId="0" applyBorder="1" applyProtection="1">
      <protection hidden="1"/>
    </xf>
    <xf numFmtId="0" fontId="0" fillId="0" borderId="98" xfId="0" applyBorder="1" applyProtection="1">
      <protection hidden="1"/>
    </xf>
    <xf numFmtId="0" fontId="0" fillId="0" borderId="99" xfId="0" applyBorder="1" applyProtection="1">
      <protection hidden="1"/>
    </xf>
    <xf numFmtId="0" fontId="0" fillId="0" borderId="105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89" xfId="0" applyBorder="1" applyProtection="1">
      <protection hidden="1"/>
    </xf>
    <xf numFmtId="0" fontId="0" fillId="0" borderId="93" xfId="0" applyBorder="1" applyProtection="1">
      <protection hidden="1"/>
    </xf>
    <xf numFmtId="0" fontId="48" fillId="0" borderId="0" xfId="0" applyFont="1" applyFill="1" applyAlignment="1" applyProtection="1">
      <alignment horizontal="center" vertical="center" textRotation="90"/>
      <protection hidden="1"/>
    </xf>
    <xf numFmtId="0" fontId="37" fillId="4" borderId="25" xfId="0" applyFont="1" applyFill="1" applyBorder="1" applyAlignment="1" applyProtection="1">
      <alignment horizontal="center" vertical="center"/>
      <protection locked="0" hidden="1"/>
    </xf>
    <xf numFmtId="0" fontId="0" fillId="0" borderId="118" xfId="0" applyBorder="1" applyProtection="1"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8" xfId="0" quotePrefix="1" applyFont="1" applyFill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0" fontId="6" fillId="0" borderId="15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6" xfId="0" applyFont="1" applyFill="1" applyBorder="1" applyAlignment="1" applyProtection="1">
      <alignment vertical="center"/>
      <protection hidden="1"/>
    </xf>
    <xf numFmtId="0" fontId="14" fillId="0" borderId="34" xfId="0" applyFont="1" applyFill="1" applyBorder="1" applyAlignment="1" applyProtection="1">
      <alignment vertical="center"/>
      <protection hidden="1"/>
    </xf>
    <xf numFmtId="0" fontId="14" fillId="0" borderId="35" xfId="0" applyFont="1" applyFill="1" applyBorder="1" applyAlignment="1" applyProtection="1">
      <alignment vertical="center"/>
      <protection hidden="1"/>
    </xf>
    <xf numFmtId="0" fontId="6" fillId="0" borderId="38" xfId="0" applyFont="1" applyFill="1" applyBorder="1" applyAlignment="1" applyProtection="1">
      <alignment vertical="center"/>
      <protection hidden="1"/>
    </xf>
    <xf numFmtId="0" fontId="6" fillId="0" borderId="37" xfId="0" applyFont="1" applyFill="1" applyBorder="1" applyAlignment="1" applyProtection="1">
      <alignment vertical="center"/>
      <protection hidden="1"/>
    </xf>
    <xf numFmtId="0" fontId="6" fillId="0" borderId="29" xfId="0" applyFont="1" applyFill="1" applyBorder="1" applyAlignment="1" applyProtection="1">
      <alignment vertical="center"/>
      <protection hidden="1"/>
    </xf>
    <xf numFmtId="0" fontId="6" fillId="0" borderId="39" xfId="0" applyFont="1" applyFill="1" applyBorder="1" applyAlignment="1" applyProtection="1">
      <alignment vertical="center"/>
      <protection hidden="1"/>
    </xf>
    <xf numFmtId="0" fontId="18" fillId="0" borderId="30" xfId="0" applyFont="1" applyFill="1" applyBorder="1" applyAlignment="1" applyProtection="1">
      <alignment vertical="center"/>
      <protection hidden="1"/>
    </xf>
    <xf numFmtId="0" fontId="18" fillId="0" borderId="43" xfId="0" applyFont="1" applyFill="1" applyBorder="1" applyAlignment="1" applyProtection="1">
      <alignment vertical="center"/>
      <protection hidden="1"/>
    </xf>
    <xf numFmtId="0" fontId="8" fillId="0" borderId="46" xfId="0" applyFont="1" applyFill="1" applyBorder="1" applyAlignment="1" applyProtection="1">
      <alignment horizontal="right" vertical="center"/>
      <protection hidden="1"/>
    </xf>
    <xf numFmtId="0" fontId="8" fillId="0" borderId="30" xfId="0" applyFont="1" applyFill="1" applyBorder="1" applyAlignment="1" applyProtection="1">
      <alignment horizontal="right" vertical="center"/>
      <protection hidden="1"/>
    </xf>
    <xf numFmtId="0" fontId="6" fillId="0" borderId="64" xfId="0" applyFont="1" applyFill="1" applyBorder="1" applyAlignment="1" applyProtection="1">
      <alignment vertical="center"/>
      <protection hidden="1"/>
    </xf>
    <xf numFmtId="0" fontId="6" fillId="0" borderId="46" xfId="0" applyFont="1" applyFill="1" applyBorder="1" applyAlignment="1" applyProtection="1">
      <alignment vertical="center"/>
      <protection hidden="1"/>
    </xf>
    <xf numFmtId="0" fontId="6" fillId="0" borderId="30" xfId="0" applyFont="1" applyFill="1" applyBorder="1" applyAlignment="1" applyProtection="1">
      <alignment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right" vertical="center"/>
      <protection hidden="1"/>
    </xf>
    <xf numFmtId="0" fontId="18" fillId="0" borderId="48" xfId="0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61" xfId="0" applyFont="1" applyFill="1" applyBorder="1" applyAlignment="1" applyProtection="1">
      <alignment horizontal="right" vertical="center"/>
      <protection hidden="1"/>
    </xf>
    <xf numFmtId="0" fontId="2" fillId="12" borderId="1" xfId="0" applyFont="1" applyFill="1" applyBorder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right"/>
      <protection hidden="1"/>
    </xf>
    <xf numFmtId="14" fontId="45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54" fillId="0" borderId="0" xfId="0" applyFont="1" applyProtection="1">
      <protection hidden="1"/>
    </xf>
    <xf numFmtId="0" fontId="54" fillId="0" borderId="0" xfId="0" applyFont="1" applyFill="1" applyAlignment="1" applyProtection="1">
      <alignment vertical="center"/>
      <protection hidden="1"/>
    </xf>
    <xf numFmtId="0" fontId="54" fillId="7" borderId="76" xfId="0" applyFont="1" applyFill="1" applyBorder="1" applyAlignment="1" applyProtection="1">
      <alignment vertical="center"/>
      <protection hidden="1"/>
    </xf>
    <xf numFmtId="0" fontId="54" fillId="7" borderId="78" xfId="0" applyFont="1" applyFill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4" fillId="0" borderId="7" xfId="0" applyFont="1" applyFill="1" applyBorder="1" applyAlignment="1" applyProtection="1">
      <alignment vertical="center"/>
      <protection hidden="1"/>
    </xf>
    <xf numFmtId="0" fontId="54" fillId="7" borderId="79" xfId="0" applyFont="1" applyFill="1" applyBorder="1" applyAlignment="1" applyProtection="1">
      <alignment vertical="center"/>
      <protection hidden="1"/>
    </xf>
    <xf numFmtId="0" fontId="54" fillId="7" borderId="0" xfId="0" applyFont="1" applyFill="1" applyBorder="1" applyAlignment="1" applyProtection="1">
      <alignment vertical="center"/>
      <protection hidden="1"/>
    </xf>
    <xf numFmtId="0" fontId="54" fillId="7" borderId="80" xfId="0" applyFont="1" applyFill="1" applyBorder="1" applyAlignment="1" applyProtection="1">
      <alignment vertical="center"/>
      <protection hidden="1"/>
    </xf>
    <xf numFmtId="0" fontId="54" fillId="0" borderId="15" xfId="0" applyFont="1" applyFill="1" applyBorder="1" applyAlignment="1" applyProtection="1">
      <alignment vertical="center"/>
      <protection hidden="1"/>
    </xf>
    <xf numFmtId="0" fontId="57" fillId="0" borderId="18" xfId="0" applyFont="1" applyFill="1" applyBorder="1" applyAlignment="1" applyProtection="1">
      <alignment horizontal="center" vertical="center"/>
      <protection hidden="1"/>
    </xf>
    <xf numFmtId="0" fontId="57" fillId="0" borderId="21" xfId="0" applyFont="1" applyFill="1" applyBorder="1" applyAlignment="1" applyProtection="1">
      <alignment horizontal="center" vertical="center"/>
      <protection hidden="1"/>
    </xf>
    <xf numFmtId="166" fontId="57" fillId="4" borderId="17" xfId="0" applyNumberFormat="1" applyFont="1" applyFill="1" applyBorder="1" applyAlignment="1" applyProtection="1">
      <alignment horizontal="center" vertical="center"/>
      <protection locked="0"/>
    </xf>
    <xf numFmtId="1" fontId="57" fillId="4" borderId="18" xfId="0" applyNumberFormat="1" applyFont="1" applyFill="1" applyBorder="1" applyAlignment="1" applyProtection="1">
      <alignment horizontal="center" vertical="center"/>
      <protection locked="0"/>
    </xf>
    <xf numFmtId="0" fontId="57" fillId="4" borderId="18" xfId="0" quotePrefix="1" applyFont="1" applyFill="1" applyBorder="1" applyAlignment="1" applyProtection="1">
      <alignment horizontal="center" vertical="center"/>
      <protection locked="0"/>
    </xf>
    <xf numFmtId="167" fontId="57" fillId="4" borderId="18" xfId="0" applyNumberFormat="1" applyFont="1" applyFill="1" applyBorder="1" applyAlignment="1" applyProtection="1">
      <alignment horizontal="center" vertical="center"/>
      <protection hidden="1"/>
    </xf>
    <xf numFmtId="166" fontId="57" fillId="4" borderId="18" xfId="0" applyNumberFormat="1" applyFont="1" applyFill="1" applyBorder="1" applyAlignment="1" applyProtection="1">
      <alignment horizontal="center" vertical="center"/>
      <protection locked="0"/>
    </xf>
    <xf numFmtId="49" fontId="57" fillId="4" borderId="22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right" vertical="center"/>
      <protection hidden="1"/>
    </xf>
    <xf numFmtId="0" fontId="57" fillId="4" borderId="18" xfId="0" applyFont="1" applyFill="1" applyBorder="1" applyAlignment="1" applyProtection="1">
      <alignment horizontal="center" vertical="center"/>
      <protection locked="0"/>
    </xf>
    <xf numFmtId="0" fontId="57" fillId="0" borderId="19" xfId="0" applyFont="1" applyFill="1" applyBorder="1" applyAlignment="1" applyProtection="1">
      <alignment vertical="center"/>
      <protection hidden="1"/>
    </xf>
    <xf numFmtId="0" fontId="54" fillId="7" borderId="81" xfId="0" applyFont="1" applyFill="1" applyBorder="1" applyAlignment="1" applyProtection="1">
      <alignment vertical="center"/>
      <protection hidden="1"/>
    </xf>
    <xf numFmtId="0" fontId="54" fillId="7" borderId="82" xfId="0" applyFont="1" applyFill="1" applyBorder="1" applyAlignment="1" applyProtection="1">
      <alignment vertical="center"/>
      <protection hidden="1"/>
    </xf>
    <xf numFmtId="0" fontId="54" fillId="7" borderId="83" xfId="0" applyFont="1" applyFill="1" applyBorder="1" applyAlignment="1" applyProtection="1">
      <alignment vertical="center"/>
      <protection hidden="1"/>
    </xf>
    <xf numFmtId="0" fontId="58" fillId="0" borderId="15" xfId="0" applyFont="1" applyFill="1" applyBorder="1" applyAlignment="1" applyProtection="1">
      <alignment horizontal="center" vertical="center"/>
      <protection hidden="1"/>
    </xf>
    <xf numFmtId="0" fontId="58" fillId="0" borderId="44" xfId="0" applyFont="1" applyFill="1" applyBorder="1" applyAlignment="1" applyProtection="1">
      <alignment horizontal="center" vertical="center"/>
      <protection hidden="1"/>
    </xf>
    <xf numFmtId="0" fontId="58" fillId="0" borderId="33" xfId="0" applyFont="1" applyFill="1" applyBorder="1" applyAlignment="1" applyProtection="1">
      <alignment horizontal="center" vertical="center"/>
      <protection hidden="1"/>
    </xf>
    <xf numFmtId="0" fontId="54" fillId="0" borderId="2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right"/>
      <protection hidden="1"/>
    </xf>
    <xf numFmtId="0" fontId="35" fillId="0" borderId="0" xfId="0" applyFont="1" applyAlignment="1" applyProtection="1">
      <alignment horizontal="left"/>
      <protection hidden="1"/>
    </xf>
    <xf numFmtId="0" fontId="31" fillId="0" borderId="19" xfId="0" applyNumberFormat="1" applyFont="1" applyFill="1" applyBorder="1" applyAlignment="1" applyProtection="1">
      <alignment horizontal="center" vertical="center"/>
      <protection hidden="1"/>
    </xf>
    <xf numFmtId="1" fontId="59" fillId="0" borderId="18" xfId="0" applyNumberFormat="1" applyFont="1" applyFill="1" applyBorder="1" applyAlignment="1" applyProtection="1">
      <alignment horizontal="center" vertical="center"/>
      <protection hidden="1"/>
    </xf>
    <xf numFmtId="0" fontId="54" fillId="0" borderId="13" xfId="0" applyFont="1" applyFill="1" applyBorder="1" applyAlignment="1" applyProtection="1">
      <alignment vertical="center"/>
      <protection hidden="1"/>
    </xf>
    <xf numFmtId="0" fontId="54" fillId="0" borderId="23" xfId="0" applyFont="1" applyFill="1" applyBorder="1" applyAlignment="1" applyProtection="1">
      <alignment vertical="center"/>
      <protection hidden="1"/>
    </xf>
    <xf numFmtId="0" fontId="54" fillId="0" borderId="2" xfId="0" applyFont="1" applyFill="1" applyBorder="1" applyAlignment="1" applyProtection="1">
      <alignment vertical="center"/>
      <protection hidden="1"/>
    </xf>
    <xf numFmtId="0" fontId="54" fillId="0" borderId="62" xfId="0" applyFont="1" applyFill="1" applyBorder="1" applyAlignment="1" applyProtection="1">
      <alignment vertical="center"/>
      <protection hidden="1"/>
    </xf>
    <xf numFmtId="0" fontId="54" fillId="0" borderId="63" xfId="0" applyFont="1" applyFill="1" applyBorder="1" applyAlignment="1" applyProtection="1">
      <alignment vertical="center"/>
      <protection hidden="1"/>
    </xf>
    <xf numFmtId="0" fontId="54" fillId="0" borderId="67" xfId="0" applyFont="1" applyFill="1" applyBorder="1" applyAlignment="1" applyProtection="1">
      <alignment horizontal="center" vertical="center"/>
      <protection hidden="1"/>
    </xf>
    <xf numFmtId="0" fontId="54" fillId="0" borderId="63" xfId="0" applyFont="1" applyFill="1" applyBorder="1" applyAlignment="1" applyProtection="1">
      <alignment horizontal="center" vertical="center"/>
      <protection hidden="1"/>
    </xf>
    <xf numFmtId="0" fontId="54" fillId="0" borderId="5" xfId="0" applyFont="1" applyFill="1" applyBorder="1" applyAlignment="1" applyProtection="1">
      <alignment vertical="center"/>
      <protection hidden="1"/>
    </xf>
    <xf numFmtId="0" fontId="61" fillId="4" borderId="27" xfId="0" applyFont="1" applyFill="1" applyBorder="1" applyAlignment="1" applyProtection="1">
      <alignment horizontal="center" vertical="center"/>
      <protection hidden="1"/>
    </xf>
    <xf numFmtId="1" fontId="59" fillId="0" borderId="73" xfId="0" applyNumberFormat="1" applyFont="1" applyFill="1" applyBorder="1" applyAlignment="1" applyProtection="1">
      <alignment horizontal="center" vertical="center"/>
      <protection hidden="1"/>
    </xf>
    <xf numFmtId="0" fontId="62" fillId="13" borderId="121" xfId="0" applyFont="1" applyFill="1" applyBorder="1" applyProtection="1">
      <protection hidden="1"/>
    </xf>
    <xf numFmtId="1" fontId="54" fillId="6" borderId="0" xfId="0" applyNumberFormat="1" applyFont="1" applyFill="1" applyProtection="1">
      <protection locked="0"/>
    </xf>
    <xf numFmtId="0" fontId="54" fillId="6" borderId="0" xfId="0" applyFont="1" applyFill="1" applyProtection="1">
      <protection locked="0"/>
    </xf>
    <xf numFmtId="0" fontId="54" fillId="6" borderId="0" xfId="0" applyNumberFormat="1" applyFont="1" applyFill="1" applyProtection="1">
      <protection locked="0"/>
    </xf>
    <xf numFmtId="0" fontId="54" fillId="6" borderId="121" xfId="0" applyFont="1" applyFill="1" applyBorder="1" applyProtection="1">
      <protection locked="0"/>
    </xf>
    <xf numFmtId="1" fontId="55" fillId="6" borderId="25" xfId="0" applyNumberFormat="1" applyFont="1" applyFill="1" applyBorder="1" applyAlignment="1" applyProtection="1">
      <alignment horizontal="center" vertical="center"/>
      <protection locked="0"/>
    </xf>
    <xf numFmtId="14" fontId="54" fillId="4" borderId="106" xfId="4" applyNumberFormat="1" applyFont="1" applyFill="1" applyBorder="1" applyAlignment="1" applyProtection="1">
      <alignment horizontal="right"/>
      <protection locked="0"/>
    </xf>
    <xf numFmtId="14" fontId="54" fillId="4" borderId="107" xfId="4" applyNumberFormat="1" applyFont="1" applyFill="1" applyBorder="1" applyAlignment="1" applyProtection="1">
      <alignment horizontal="right"/>
      <protection locked="0"/>
    </xf>
    <xf numFmtId="166" fontId="54" fillId="4" borderId="107" xfId="4" applyNumberFormat="1" applyFont="1" applyFill="1" applyBorder="1" applyAlignment="1" applyProtection="1">
      <alignment horizontal="right"/>
      <protection locked="0"/>
    </xf>
    <xf numFmtId="0" fontId="54" fillId="4" borderId="107" xfId="4" applyFont="1" applyFill="1" applyBorder="1" applyAlignment="1" applyProtection="1">
      <alignment horizontal="right"/>
      <protection locked="0"/>
    </xf>
    <xf numFmtId="0" fontId="54" fillId="4" borderId="108" xfId="4" applyFont="1" applyFill="1" applyBorder="1" applyAlignment="1" applyProtection="1">
      <alignment horizontal="right"/>
      <protection locked="0"/>
    </xf>
    <xf numFmtId="166" fontId="54" fillId="4" borderId="90" xfId="0" applyNumberFormat="1" applyFont="1" applyFill="1" applyBorder="1" applyAlignment="1" applyProtection="1">
      <alignment horizontal="right"/>
      <protection locked="0"/>
    </xf>
    <xf numFmtId="0" fontId="54" fillId="4" borderId="94" xfId="0" applyFont="1" applyFill="1" applyBorder="1" applyAlignment="1" applyProtection="1">
      <alignment horizontal="right"/>
      <protection locked="0"/>
    </xf>
    <xf numFmtId="49" fontId="54" fillId="4" borderId="89" xfId="4" applyNumberFormat="1" applyFont="1" applyFill="1" applyBorder="1" applyProtection="1">
      <protection locked="0"/>
    </xf>
    <xf numFmtId="49" fontId="54" fillId="4" borderId="119" xfId="4" applyNumberFormat="1" applyFont="1" applyFill="1" applyBorder="1" applyProtection="1">
      <protection locked="0"/>
    </xf>
    <xf numFmtId="49" fontId="54" fillId="4" borderId="95" xfId="4" applyNumberFormat="1" applyFont="1" applyFill="1" applyBorder="1" applyProtection="1">
      <protection locked="0"/>
    </xf>
    <xf numFmtId="49" fontId="54" fillId="4" borderId="90" xfId="4" applyNumberFormat="1" applyFont="1" applyFill="1" applyBorder="1" applyProtection="1">
      <protection locked="0"/>
    </xf>
    <xf numFmtId="49" fontId="54" fillId="4" borderId="91" xfId="4" applyNumberFormat="1" applyFont="1" applyFill="1" applyBorder="1" applyProtection="1">
      <protection locked="0"/>
    </xf>
    <xf numFmtId="49" fontId="54" fillId="4" borderId="86" xfId="4" applyNumberFormat="1" applyFont="1" applyFill="1" applyBorder="1" applyProtection="1">
      <protection locked="0"/>
    </xf>
    <xf numFmtId="49" fontId="54" fillId="4" borderId="25" xfId="4" applyNumberFormat="1" applyFont="1" applyFill="1" applyBorder="1" applyProtection="1">
      <protection locked="0"/>
    </xf>
    <xf numFmtId="49" fontId="54" fillId="4" borderId="92" xfId="4" applyNumberFormat="1" applyFont="1" applyFill="1" applyBorder="1" applyProtection="1">
      <protection locked="0"/>
    </xf>
    <xf numFmtId="49" fontId="54" fillId="4" borderId="93" xfId="4" applyNumberFormat="1" applyFont="1" applyFill="1" applyBorder="1" applyProtection="1">
      <protection locked="0"/>
    </xf>
    <xf numFmtId="49" fontId="54" fillId="4" borderId="120" xfId="4" applyNumberFormat="1" applyFont="1" applyFill="1" applyBorder="1" applyProtection="1">
      <protection locked="0"/>
    </xf>
    <xf numFmtId="49" fontId="54" fillId="4" borderId="96" xfId="4" applyNumberFormat="1" applyFont="1" applyFill="1" applyBorder="1" applyProtection="1">
      <protection locked="0"/>
    </xf>
    <xf numFmtId="49" fontId="54" fillId="4" borderId="94" xfId="4" applyNumberFormat="1" applyFont="1" applyFill="1" applyBorder="1" applyProtection="1">
      <protection locked="0"/>
    </xf>
    <xf numFmtId="0" fontId="54" fillId="0" borderId="0" xfId="0" applyFont="1" applyFill="1" applyBorder="1" applyAlignment="1" applyProtection="1">
      <alignment vertical="center"/>
      <protection hidden="1"/>
    </xf>
    <xf numFmtId="0" fontId="57" fillId="4" borderId="25" xfId="0" applyFont="1" applyFill="1" applyBorder="1" applyAlignment="1" applyProtection="1">
      <alignment horizontal="center" vertical="center"/>
      <protection locked="0"/>
    </xf>
    <xf numFmtId="0" fontId="57" fillId="4" borderId="72" xfId="0" applyFont="1" applyFill="1" applyBorder="1" applyAlignment="1" applyProtection="1">
      <alignment horizontal="center" vertical="center"/>
      <protection locked="0"/>
    </xf>
    <xf numFmtId="49" fontId="59" fillId="4" borderId="56" xfId="0" applyNumberFormat="1" applyFont="1" applyFill="1" applyBorder="1" applyAlignment="1" applyProtection="1">
      <alignment horizontal="center" vertical="center"/>
      <protection locked="0"/>
    </xf>
    <xf numFmtId="49" fontId="59" fillId="4" borderId="52" xfId="0" applyNumberFormat="1" applyFont="1" applyFill="1" applyBorder="1" applyAlignment="1" applyProtection="1">
      <alignment horizontal="center" vertical="center"/>
      <protection locked="0"/>
    </xf>
    <xf numFmtId="49" fontId="59" fillId="4" borderId="58" xfId="0" applyNumberFormat="1" applyFont="1" applyFill="1" applyBorder="1" applyAlignment="1" applyProtection="1">
      <alignment horizontal="center" vertical="center"/>
      <protection locked="0"/>
    </xf>
    <xf numFmtId="49" fontId="59" fillId="4" borderId="12" xfId="0" applyNumberFormat="1" applyFont="1" applyFill="1" applyBorder="1" applyAlignment="1" applyProtection="1">
      <alignment horizontal="center" vertical="center"/>
      <protection locked="0"/>
    </xf>
    <xf numFmtId="49" fontId="59" fillId="4" borderId="13" xfId="0" applyNumberFormat="1" applyFont="1" applyFill="1" applyBorder="1" applyAlignment="1" applyProtection="1">
      <alignment horizontal="center" vertical="center"/>
      <protection locked="0"/>
    </xf>
    <xf numFmtId="49" fontId="59" fillId="4" borderId="35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/>
    <xf numFmtId="166" fontId="54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64" fontId="43" fillId="0" borderId="0" xfId="3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left"/>
      <protection hidden="1"/>
    </xf>
    <xf numFmtId="0" fontId="41" fillId="0" borderId="0" xfId="0" applyFont="1" applyAlignment="1" applyProtection="1">
      <alignment horizontal="left"/>
      <protection hidden="1"/>
    </xf>
    <xf numFmtId="0" fontId="44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 vertical="top"/>
      <protection hidden="1"/>
    </xf>
    <xf numFmtId="0" fontId="44" fillId="0" borderId="0" xfId="0" applyFont="1" applyAlignment="1" applyProtection="1">
      <alignment horizontal="right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top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45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165" fontId="0" fillId="0" borderId="0" xfId="2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45" fillId="0" borderId="0" xfId="0" applyFont="1" applyFill="1" applyBorder="1" applyAlignment="1" applyProtection="1">
      <alignment vertical="center"/>
      <protection hidden="1"/>
    </xf>
    <xf numFmtId="14" fontId="4" fillId="0" borderId="0" xfId="0" applyNumberFormat="1" applyFont="1" applyBorder="1" applyAlignment="1" applyProtection="1">
      <alignment horizontal="center"/>
      <protection hidden="1"/>
    </xf>
    <xf numFmtId="0" fontId="37" fillId="0" borderId="65" xfId="0" applyFont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63" fillId="0" borderId="0" xfId="0" applyFont="1" applyAlignment="1" applyProtection="1">
      <alignment horizontal="right"/>
      <protection hidden="1"/>
    </xf>
    <xf numFmtId="0" fontId="63" fillId="0" borderId="0" xfId="0" applyFont="1" applyAlignment="1" applyProtection="1">
      <alignment horizontal="center"/>
      <protection hidden="1"/>
    </xf>
    <xf numFmtId="0" fontId="63" fillId="4" borderId="25" xfId="3" applyNumberFormat="1" applyFont="1" applyFill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vertical="center"/>
      <protection hidden="1"/>
    </xf>
    <xf numFmtId="0" fontId="6" fillId="0" borderId="37" xfId="0" applyFont="1" applyFill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hidden="1"/>
    </xf>
    <xf numFmtId="0" fontId="6" fillId="0" borderId="28" xfId="0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0" fontId="6" fillId="0" borderId="48" xfId="0" applyFont="1" applyFill="1" applyBorder="1" applyAlignment="1" applyProtection="1">
      <alignment horizontal="center" vertical="center"/>
      <protection hidden="1"/>
    </xf>
    <xf numFmtId="0" fontId="54" fillId="0" borderId="10" xfId="0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/>
      <protection hidden="1"/>
    </xf>
    <xf numFmtId="0" fontId="57" fillId="0" borderId="17" xfId="0" applyFont="1" applyFill="1" applyBorder="1" applyAlignment="1" applyProtection="1">
      <alignment horizontal="center" vertical="center"/>
      <protection hidden="1"/>
    </xf>
    <xf numFmtId="0" fontId="57" fillId="0" borderId="22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/>
      <protection hidden="1"/>
    </xf>
    <xf numFmtId="0" fontId="36" fillId="0" borderId="100" xfId="0" applyFont="1" applyBorder="1" applyAlignment="1" applyProtection="1">
      <alignment horizontal="center"/>
      <protection hidden="1"/>
    </xf>
    <xf numFmtId="0" fontId="36" fillId="0" borderId="102" xfId="0" applyFont="1" applyBorder="1" applyAlignment="1" applyProtection="1">
      <alignment horizontal="center"/>
      <protection hidden="1"/>
    </xf>
    <xf numFmtId="0" fontId="38" fillId="0" borderId="110" xfId="0" applyFont="1" applyBorder="1" applyAlignment="1" applyProtection="1">
      <alignment horizontal="center"/>
      <protection hidden="1"/>
    </xf>
    <xf numFmtId="0" fontId="38" fillId="0" borderId="111" xfId="0" applyFont="1" applyBorder="1" applyAlignment="1" applyProtection="1">
      <alignment horizontal="center"/>
      <protection hidden="1"/>
    </xf>
    <xf numFmtId="0" fontId="38" fillId="0" borderId="112" xfId="0" applyFont="1" applyBorder="1" applyAlignment="1" applyProtection="1">
      <alignment horizontal="center"/>
      <protection hidden="1"/>
    </xf>
    <xf numFmtId="0" fontId="38" fillId="7" borderId="77" xfId="0" applyFont="1" applyFill="1" applyBorder="1" applyAlignment="1" applyProtection="1">
      <alignment horizontal="center" vertical="center"/>
      <protection hidden="1"/>
    </xf>
    <xf numFmtId="0" fontId="55" fillId="6" borderId="0" xfId="0" applyFont="1" applyFill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center"/>
      <protection hidden="1"/>
    </xf>
    <xf numFmtId="0" fontId="55" fillId="6" borderId="84" xfId="0" applyFont="1" applyFill="1" applyBorder="1" applyAlignment="1" applyProtection="1">
      <alignment horizontal="center" vertical="center"/>
      <protection locked="0"/>
    </xf>
    <xf numFmtId="0" fontId="55" fillId="6" borderId="86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0" fontId="18" fillId="0" borderId="48" xfId="0" applyFont="1" applyFill="1" applyBorder="1" applyAlignment="1" applyProtection="1">
      <alignment vertical="center"/>
      <protection hidden="1"/>
    </xf>
    <xf numFmtId="0" fontId="18" fillId="0" borderId="56" xfId="0" applyFont="1" applyFill="1" applyBorder="1" applyAlignment="1" applyProtection="1">
      <alignment vertical="center"/>
      <protection hidden="1"/>
    </xf>
    <xf numFmtId="0" fontId="6" fillId="0" borderId="48" xfId="0" applyFont="1" applyFill="1" applyBorder="1" applyAlignment="1" applyProtection="1">
      <alignment horizontal="center" vertical="center"/>
      <protection hidden="1"/>
    </xf>
    <xf numFmtId="0" fontId="55" fillId="7" borderId="77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46" xfId="0" applyFont="1" applyFill="1" applyBorder="1" applyAlignment="1" applyProtection="1">
      <alignment horizontal="center" vertical="center"/>
      <protection hidden="1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5" fillId="0" borderId="57" xfId="0" applyFont="1" applyFill="1" applyBorder="1" applyAlignment="1" applyProtection="1">
      <alignment horizontal="center" vertical="center"/>
      <protection hidden="1"/>
    </xf>
    <xf numFmtId="1" fontId="59" fillId="0" borderId="51" xfId="0" applyNumberFormat="1" applyFont="1" applyFill="1" applyBorder="1" applyAlignment="1" applyProtection="1">
      <alignment horizontal="center" vertical="center"/>
      <protection hidden="1"/>
    </xf>
    <xf numFmtId="0" fontId="57" fillId="0" borderId="19" xfId="0" applyFont="1" applyFill="1" applyBorder="1" applyAlignment="1" applyProtection="1">
      <alignment horizontal="left" vertical="center"/>
      <protection hidden="1"/>
    </xf>
    <xf numFmtId="0" fontId="57" fillId="0" borderId="20" xfId="0" applyFont="1" applyFill="1" applyBorder="1" applyAlignment="1" applyProtection="1">
      <alignment horizontal="left" vertical="center"/>
      <protection hidden="1"/>
    </xf>
    <xf numFmtId="0" fontId="57" fillId="0" borderId="21" xfId="0" applyFont="1" applyFill="1" applyBorder="1" applyAlignment="1" applyProtection="1">
      <alignment horizontal="left" vertical="center"/>
      <protection hidden="1"/>
    </xf>
    <xf numFmtId="0" fontId="54" fillId="0" borderId="26" xfId="0" applyFont="1" applyFill="1" applyBorder="1" applyAlignment="1" applyProtection="1">
      <alignment vertical="center"/>
      <protection hidden="1"/>
    </xf>
    <xf numFmtId="1" fontId="59" fillId="0" borderId="37" xfId="0" applyNumberFormat="1" applyFont="1" applyFill="1" applyBorder="1" applyAlignment="1" applyProtection="1">
      <alignment horizontal="center" vertical="center"/>
      <protection hidden="1"/>
    </xf>
    <xf numFmtId="0" fontId="18" fillId="0" borderId="50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/>
      <protection hidden="1"/>
    </xf>
    <xf numFmtId="0" fontId="17" fillId="0" borderId="26" xfId="0" applyFont="1" applyFill="1" applyBorder="1" applyAlignment="1" applyProtection="1">
      <alignment horizontal="left" vertical="center"/>
      <protection hidden="1"/>
    </xf>
    <xf numFmtId="0" fontId="17" fillId="0" borderId="59" xfId="0" applyFont="1" applyFill="1" applyBorder="1" applyAlignment="1" applyProtection="1">
      <alignment horizontal="left" vertical="center"/>
      <protection hidden="1"/>
    </xf>
    <xf numFmtId="1" fontId="59" fillId="0" borderId="51" xfId="0" quotePrefix="1" applyNumberFormat="1" applyFont="1" applyFill="1" applyBorder="1" applyAlignment="1" applyProtection="1">
      <alignment horizontal="center" vertical="center"/>
      <protection hidden="1"/>
    </xf>
    <xf numFmtId="1" fontId="59" fillId="0" borderId="53" xfId="0" quotePrefix="1" applyNumberFormat="1" applyFont="1" applyFill="1" applyBorder="1" applyAlignment="1" applyProtection="1">
      <alignment horizontal="center" vertical="center"/>
      <protection hidden="1"/>
    </xf>
    <xf numFmtId="0" fontId="18" fillId="0" borderId="52" xfId="0" applyFont="1" applyFill="1" applyBorder="1" applyAlignment="1" applyProtection="1">
      <alignment horizontal="center" vertical="center"/>
      <protection hidden="1"/>
    </xf>
    <xf numFmtId="1" fontId="57" fillId="4" borderId="50" xfId="0" applyNumberFormat="1" applyFont="1" applyFill="1" applyBorder="1" applyAlignment="1" applyProtection="1">
      <alignment horizontal="center" vertical="center"/>
      <protection locked="0"/>
    </xf>
    <xf numFmtId="1" fontId="57" fillId="4" borderId="52" xfId="0" applyNumberFormat="1" applyFont="1" applyFill="1" applyBorder="1" applyAlignment="1" applyProtection="1">
      <alignment horizontal="center" vertical="center"/>
      <protection locked="0"/>
    </xf>
    <xf numFmtId="0" fontId="57" fillId="4" borderId="50" xfId="0" applyFont="1" applyFill="1" applyBorder="1" applyAlignment="1" applyProtection="1">
      <alignment horizontal="center" vertical="center"/>
      <protection locked="0"/>
    </xf>
    <xf numFmtId="0" fontId="57" fillId="4" borderId="52" xfId="0" applyFont="1" applyFill="1" applyBorder="1" applyAlignment="1" applyProtection="1">
      <alignment horizontal="center" vertical="center"/>
      <protection locked="0"/>
    </xf>
    <xf numFmtId="166" fontId="57" fillId="4" borderId="50" xfId="0" applyNumberFormat="1" applyFont="1" applyFill="1" applyBorder="1" applyAlignment="1" applyProtection="1">
      <alignment horizontal="center" vertical="center"/>
      <protection locked="0"/>
    </xf>
    <xf numFmtId="166" fontId="57" fillId="4" borderId="52" xfId="0" applyNumberFormat="1" applyFont="1" applyFill="1" applyBorder="1" applyAlignment="1" applyProtection="1">
      <alignment horizontal="center" vertical="center"/>
      <protection locked="0"/>
    </xf>
    <xf numFmtId="49" fontId="57" fillId="4" borderId="51" xfId="0" applyNumberFormat="1" applyFont="1" applyFill="1" applyBorder="1" applyAlignment="1" applyProtection="1">
      <alignment horizontal="center" vertical="center"/>
      <protection locked="0"/>
    </xf>
    <xf numFmtId="49" fontId="57" fillId="4" borderId="5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hidden="1"/>
    </xf>
    <xf numFmtId="166" fontId="57" fillId="4" borderId="48" xfId="0" applyNumberFormat="1" applyFont="1" applyFill="1" applyBorder="1" applyAlignment="1" applyProtection="1">
      <alignment horizontal="center" vertical="center"/>
      <protection locked="0"/>
    </xf>
    <xf numFmtId="166" fontId="57" fillId="4" borderId="14" xfId="0" applyNumberFormat="1" applyFont="1" applyFill="1" applyBorder="1" applyAlignment="1" applyProtection="1">
      <alignment horizontal="center" vertical="center"/>
      <protection locked="0"/>
    </xf>
    <xf numFmtId="1" fontId="57" fillId="4" borderId="15" xfId="0" applyNumberFormat="1" applyFont="1" applyFill="1" applyBorder="1" applyAlignment="1" applyProtection="1">
      <alignment horizontal="center" vertical="center"/>
      <protection locked="0"/>
    </xf>
    <xf numFmtId="0" fontId="57" fillId="0" borderId="51" xfId="0" applyFont="1" applyFill="1" applyBorder="1" applyAlignment="1" applyProtection="1">
      <alignment horizontal="center" vertical="center"/>
      <protection hidden="1"/>
    </xf>
    <xf numFmtId="0" fontId="57" fillId="0" borderId="53" xfId="0" applyFont="1" applyFill="1" applyBorder="1" applyAlignment="1" applyProtection="1">
      <alignment horizontal="center" vertical="center"/>
      <protection hidden="1"/>
    </xf>
    <xf numFmtId="0" fontId="4" fillId="0" borderId="41" xfId="0" applyFont="1" applyFill="1" applyBorder="1" applyAlignment="1" applyProtection="1">
      <alignment horizontal="center" vertical="center"/>
      <protection hidden="1"/>
    </xf>
    <xf numFmtId="0" fontId="59" fillId="0" borderId="54" xfId="0" applyFont="1" applyFill="1" applyBorder="1" applyAlignment="1" applyProtection="1">
      <alignment horizontal="center" vertical="center"/>
      <protection hidden="1"/>
    </xf>
    <xf numFmtId="0" fontId="57" fillId="4" borderId="15" xfId="0" applyFont="1" applyFill="1" applyBorder="1" applyAlignment="1" applyProtection="1">
      <alignment horizontal="center" vertical="center"/>
      <protection locked="0"/>
    </xf>
    <xf numFmtId="166" fontId="57" fillId="4" borderId="15" xfId="0" applyNumberFormat="1" applyFont="1" applyFill="1" applyBorder="1" applyAlignment="1" applyProtection="1">
      <alignment horizontal="center" vertical="center"/>
      <protection locked="0"/>
    </xf>
    <xf numFmtId="49" fontId="57" fillId="4" borderId="16" xfId="0" applyNumberFormat="1" applyFont="1" applyFill="1" applyBorder="1" applyAlignment="1" applyProtection="1">
      <alignment horizontal="center" vertical="center"/>
      <protection locked="0"/>
    </xf>
    <xf numFmtId="0" fontId="57" fillId="0" borderId="16" xfId="0" applyFont="1" applyFill="1" applyBorder="1" applyAlignment="1" applyProtection="1">
      <alignment horizontal="center" vertical="center"/>
      <protection hidden="1"/>
    </xf>
    <xf numFmtId="166" fontId="57" fillId="4" borderId="56" xfId="0" applyNumberFormat="1" applyFont="1" applyFill="1" applyBorder="1" applyAlignment="1" applyProtection="1">
      <alignment horizontal="center" vertical="center"/>
      <protection locked="0"/>
    </xf>
    <xf numFmtId="167" fontId="57" fillId="4" borderId="50" xfId="0" applyNumberFormat="1" applyFont="1" applyFill="1" applyBorder="1" applyAlignment="1" applyProtection="1">
      <alignment horizontal="center" vertical="center"/>
      <protection hidden="1"/>
    </xf>
    <xf numFmtId="167" fontId="57" fillId="4" borderId="15" xfId="0" applyNumberFormat="1" applyFont="1" applyFill="1" applyBorder="1" applyAlignment="1" applyProtection="1">
      <alignment horizontal="center" vertical="center"/>
      <protection hidden="1"/>
    </xf>
    <xf numFmtId="167" fontId="57" fillId="4" borderId="52" xfId="0" applyNumberFormat="1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vertical="center" wrapText="1"/>
      <protection hidden="1"/>
    </xf>
    <xf numFmtId="0" fontId="6" fillId="0" borderId="13" xfId="0" applyFont="1" applyFill="1" applyBorder="1" applyAlignment="1" applyProtection="1">
      <alignment vertical="center" wrapText="1"/>
      <protection hidden="1"/>
    </xf>
    <xf numFmtId="0" fontId="6" fillId="0" borderId="15" xfId="0" applyFont="1" applyFill="1" applyBorder="1" applyAlignment="1" applyProtection="1">
      <alignment vertical="center" wrapText="1"/>
      <protection hidden="1"/>
    </xf>
    <xf numFmtId="0" fontId="17" fillId="0" borderId="7" xfId="0" applyFont="1" applyFill="1" applyBorder="1" applyAlignment="1" applyProtection="1">
      <alignment vertical="center"/>
      <protection hidden="1"/>
    </xf>
    <xf numFmtId="0" fontId="7" fillId="0" borderId="16" xfId="0" applyFont="1" applyFill="1" applyBorder="1" applyAlignment="1" applyProtection="1">
      <alignment horizontal="center" vertical="center"/>
      <protection hidden="1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59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37" xfId="0" applyFont="1" applyFill="1" applyBorder="1" applyAlignment="1" applyProtection="1">
      <alignment horizontal="center" vertical="center" wrapText="1"/>
      <protection hidden="1"/>
    </xf>
    <xf numFmtId="0" fontId="6" fillId="0" borderId="38" xfId="0" applyFont="1" applyFill="1" applyBorder="1" applyAlignment="1" applyProtection="1">
      <alignment horizontal="center" vertical="center" wrapText="1"/>
      <protection hidden="1"/>
    </xf>
    <xf numFmtId="0" fontId="6" fillId="0" borderId="55" xfId="0" applyFont="1" applyFill="1" applyBorder="1" applyAlignment="1" applyProtection="1">
      <alignment horizontal="center" vertical="center" wrapText="1"/>
      <protection hidden="1"/>
    </xf>
    <xf numFmtId="0" fontId="6" fillId="0" borderId="58" xfId="0" applyFont="1" applyFill="1" applyBorder="1" applyAlignment="1" applyProtection="1">
      <alignment horizontal="center" vertical="center" wrapText="1"/>
      <protection hidden="1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9" fillId="0" borderId="11" xfId="0" applyFont="1" applyFill="1" applyBorder="1" applyAlignment="1" applyProtection="1">
      <alignment horizontal="center" vertical="center"/>
      <protection hidden="1"/>
    </xf>
    <xf numFmtId="0" fontId="59" fillId="0" borderId="8" xfId="0" applyFont="1" applyFill="1" applyBorder="1" applyAlignment="1" applyProtection="1">
      <alignment horizontal="center" vertical="center"/>
      <protection hidden="1"/>
    </xf>
    <xf numFmtId="0" fontId="59" fillId="0" borderId="16" xfId="0" applyFont="1" applyFill="1" applyBorder="1" applyAlignment="1" applyProtection="1">
      <alignment horizontal="center" vertical="center"/>
      <protection hidden="1"/>
    </xf>
    <xf numFmtId="0" fontId="17" fillId="0" borderId="13" xfId="0" applyFont="1" applyFill="1" applyBorder="1" applyAlignment="1" applyProtection="1">
      <alignment vertical="center" wrapText="1"/>
      <protection hidden="1"/>
    </xf>
    <xf numFmtId="0" fontId="17" fillId="0" borderId="15" xfId="0" applyFont="1" applyFill="1" applyBorder="1" applyAlignment="1" applyProtection="1">
      <alignment vertical="center" wrapText="1"/>
      <protection hidden="1"/>
    </xf>
    <xf numFmtId="1" fontId="59" fillId="0" borderId="50" xfId="0" quotePrefix="1" applyNumberFormat="1" applyFont="1" applyFill="1" applyBorder="1" applyAlignment="1" applyProtection="1">
      <alignment horizontal="center" vertical="center"/>
      <protection hidden="1"/>
    </xf>
    <xf numFmtId="1" fontId="59" fillId="0" borderId="52" xfId="0" quotePrefix="1" applyNumberFormat="1" applyFont="1" applyFill="1" applyBorder="1" applyAlignment="1" applyProtection="1">
      <alignment horizontal="center" vertical="center"/>
      <protection hidden="1"/>
    </xf>
    <xf numFmtId="1" fontId="59" fillId="0" borderId="37" xfId="0" quotePrefix="1" applyNumberFormat="1" applyFont="1" applyFill="1" applyBorder="1" applyAlignment="1" applyProtection="1">
      <alignment horizontal="center" vertical="center"/>
      <protection hidden="1"/>
    </xf>
    <xf numFmtId="1" fontId="59" fillId="0" borderId="64" xfId="0" quotePrefix="1" applyNumberFormat="1" applyFont="1" applyFill="1" applyBorder="1" applyAlignment="1" applyProtection="1">
      <alignment horizontal="center" vertical="center"/>
      <protection hidden="1"/>
    </xf>
    <xf numFmtId="1" fontId="59" fillId="0" borderId="58" xfId="0" quotePrefix="1" applyNumberFormat="1" applyFont="1" applyFill="1" applyBorder="1" applyAlignment="1" applyProtection="1">
      <alignment horizontal="center" vertical="center"/>
      <protection hidden="1"/>
    </xf>
    <xf numFmtId="1" fontId="59" fillId="0" borderId="57" xfId="0" quotePrefix="1" applyNumberFormat="1" applyFont="1" applyFill="1" applyBorder="1" applyAlignment="1" applyProtection="1">
      <alignment horizontal="center" vertical="center"/>
      <protection hidden="1"/>
    </xf>
    <xf numFmtId="0" fontId="24" fillId="0" borderId="68" xfId="0" applyFont="1" applyFill="1" applyBorder="1" applyAlignment="1" applyProtection="1">
      <alignment horizontal="center" vertical="center"/>
      <protection hidden="1"/>
    </xf>
    <xf numFmtId="0" fontId="24" fillId="0" borderId="69" xfId="0" applyFont="1" applyFill="1" applyBorder="1" applyAlignment="1" applyProtection="1">
      <alignment horizontal="center" vertical="center"/>
      <protection hidden="1"/>
    </xf>
    <xf numFmtId="0" fontId="58" fillId="0" borderId="26" xfId="0" applyFont="1" applyFill="1" applyBorder="1" applyAlignment="1" applyProtection="1">
      <alignment horizontal="center" vertical="center"/>
      <protection hidden="1"/>
    </xf>
    <xf numFmtId="0" fontId="58" fillId="0" borderId="70" xfId="0" applyFont="1" applyFill="1" applyBorder="1" applyAlignment="1" applyProtection="1">
      <alignment horizontal="center" vertical="center"/>
      <protection hidden="1"/>
    </xf>
    <xf numFmtId="0" fontId="58" fillId="0" borderId="71" xfId="0" applyFont="1" applyFill="1" applyBorder="1" applyAlignment="1" applyProtection="1">
      <alignment horizontal="center" vertical="center"/>
      <protection hidden="1"/>
    </xf>
    <xf numFmtId="0" fontId="59" fillId="0" borderId="64" xfId="0" applyFont="1" applyFill="1" applyBorder="1" applyAlignment="1" applyProtection="1">
      <alignment horizontal="center" vertical="center"/>
      <protection hidden="1"/>
    </xf>
    <xf numFmtId="0" fontId="59" fillId="0" borderId="38" xfId="0" applyFont="1" applyFill="1" applyBorder="1" applyAlignment="1" applyProtection="1">
      <alignment horizontal="center" vertical="center"/>
      <protection hidden="1"/>
    </xf>
    <xf numFmtId="1" fontId="59" fillId="0" borderId="50" xfId="0" applyNumberFormat="1" applyFont="1" applyFill="1" applyBorder="1" applyAlignment="1" applyProtection="1">
      <alignment horizontal="center" vertical="center"/>
      <protection hidden="1"/>
    </xf>
    <xf numFmtId="1" fontId="59" fillId="0" borderId="15" xfId="0" applyNumberFormat="1" applyFont="1" applyFill="1" applyBorder="1" applyAlignment="1" applyProtection="1">
      <alignment horizontal="center" vertical="center"/>
      <protection hidden="1"/>
    </xf>
    <xf numFmtId="0" fontId="60" fillId="4" borderId="0" xfId="0" applyFont="1" applyFill="1" applyAlignment="1" applyProtection="1">
      <alignment vertical="center" wrapText="1"/>
      <protection locked="0"/>
    </xf>
    <xf numFmtId="0" fontId="31" fillId="0" borderId="18" xfId="0" applyNumberFormat="1" applyFont="1" applyFill="1" applyBorder="1" applyAlignment="1" applyProtection="1">
      <alignment horizontal="center" vertical="center"/>
      <protection hidden="1"/>
    </xf>
    <xf numFmtId="0" fontId="3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37" xfId="0" applyNumberFormat="1" applyFont="1" applyFill="1" applyBorder="1" applyAlignment="1" applyProtection="1">
      <alignment horizontal="center" vertical="center"/>
      <protection hidden="1"/>
    </xf>
    <xf numFmtId="0" fontId="23" fillId="12" borderId="59" xfId="0" applyFont="1" applyFill="1" applyBorder="1" applyAlignment="1" applyProtection="1">
      <alignment horizontal="center" vertical="center"/>
      <protection hidden="1"/>
    </xf>
    <xf numFmtId="0" fontId="25" fillId="0" borderId="61" xfId="0" applyFont="1" applyFill="1" applyBorder="1" applyAlignment="1" applyProtection="1">
      <alignment horizontal="center" vertical="center"/>
      <protection hidden="1"/>
    </xf>
    <xf numFmtId="0" fontId="54" fillId="0" borderId="9" xfId="0" applyFont="1" applyFill="1" applyBorder="1" applyAlignment="1" applyProtection="1">
      <alignment horizontal="center" vertical="center"/>
      <protection hidden="1"/>
    </xf>
    <xf numFmtId="0" fontId="54" fillId="0" borderId="10" xfId="0" applyFont="1" applyFill="1" applyBorder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horizontal="left" vertical="center"/>
      <protection hidden="1"/>
    </xf>
    <xf numFmtId="0" fontId="24" fillId="0" borderId="23" xfId="0" applyFont="1" applyFill="1" applyBorder="1" applyAlignment="1" applyProtection="1">
      <alignment horizontal="left" vertical="center"/>
      <protection hidden="1"/>
    </xf>
    <xf numFmtId="0" fontId="24" fillId="0" borderId="2" xfId="0" applyFont="1" applyFill="1" applyBorder="1" applyAlignment="1" applyProtection="1">
      <alignment horizontal="left" vertical="center"/>
      <protection hidden="1"/>
    </xf>
    <xf numFmtId="0" fontId="24" fillId="0" borderId="26" xfId="0" applyFont="1" applyFill="1" applyBorder="1" applyAlignment="1" applyProtection="1">
      <alignment horizontal="left" vertical="center"/>
      <protection hidden="1"/>
    </xf>
    <xf numFmtId="0" fontId="24" fillId="0" borderId="59" xfId="0" applyFont="1" applyFill="1" applyBorder="1" applyAlignment="1" applyProtection="1">
      <alignment horizontal="left" vertical="center"/>
      <protection hidden="1"/>
    </xf>
    <xf numFmtId="0" fontId="24" fillId="0" borderId="27" xfId="0" applyFont="1" applyFill="1" applyBorder="1" applyAlignment="1" applyProtection="1">
      <alignment horizontal="left" vertical="center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2" fillId="12" borderId="60" xfId="0" applyFont="1" applyFill="1" applyBorder="1" applyAlignment="1" applyProtection="1">
      <alignment horizontal="center" vertical="center"/>
      <protection hidden="1"/>
    </xf>
    <xf numFmtId="0" fontId="56" fillId="0" borderId="61" xfId="0" applyFont="1" applyFill="1" applyBorder="1" applyAlignment="1" applyProtection="1">
      <alignment horizontal="center" vertical="center"/>
      <protection hidden="1"/>
    </xf>
    <xf numFmtId="0" fontId="54" fillId="0" borderId="7" xfId="0" applyFont="1" applyFill="1" applyBorder="1" applyAlignment="1" applyProtection="1">
      <alignment horizontal="center" vertical="center"/>
      <protection hidden="1"/>
    </xf>
    <xf numFmtId="0" fontId="54" fillId="0" borderId="13" xfId="0" applyFont="1" applyFill="1" applyBorder="1" applyAlignment="1" applyProtection="1">
      <alignment horizontal="center" vertical="center"/>
      <protection hidden="1"/>
    </xf>
    <xf numFmtId="0" fontId="54" fillId="0" borderId="15" xfId="0" applyFont="1" applyFill="1" applyBorder="1" applyAlignment="1" applyProtection="1">
      <alignment horizontal="center" vertical="center"/>
      <protection hidden="1"/>
    </xf>
    <xf numFmtId="0" fontId="5" fillId="0" borderId="15" xfId="0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 applyProtection="1">
      <alignment vertical="center" wrapText="1"/>
      <protection hidden="1"/>
    </xf>
    <xf numFmtId="0" fontId="54" fillId="0" borderId="6" xfId="0" applyFont="1" applyFill="1" applyBorder="1" applyAlignment="1" applyProtection="1">
      <alignment horizontal="center" vertical="center"/>
      <protection hidden="1"/>
    </xf>
    <xf numFmtId="0" fontId="54" fillId="0" borderId="14" xfId="0" applyFont="1" applyFill="1" applyBorder="1" applyAlignment="1" applyProtection="1">
      <alignment horizontal="center" vertical="center"/>
      <protection hidden="1"/>
    </xf>
    <xf numFmtId="166" fontId="58" fillId="0" borderId="19" xfId="0" applyNumberFormat="1" applyFont="1" applyFill="1" applyBorder="1" applyAlignment="1" applyProtection="1">
      <alignment vertical="center"/>
      <protection hidden="1"/>
    </xf>
    <xf numFmtId="166" fontId="58" fillId="0" borderId="19" xfId="0" applyNumberFormat="1" applyFont="1" applyFill="1" applyBorder="1" applyAlignment="1" applyProtection="1">
      <alignment horizontal="center" vertical="center"/>
      <protection hidden="1"/>
    </xf>
    <xf numFmtId="0" fontId="58" fillId="0" borderId="22" xfId="0" applyFont="1" applyFill="1" applyBorder="1" applyAlignment="1" applyProtection="1">
      <alignment horizontal="center" vertical="center"/>
      <protection hidden="1"/>
    </xf>
    <xf numFmtId="0" fontId="14" fillId="0" borderId="37" xfId="0" applyFont="1" applyFill="1" applyBorder="1" applyAlignment="1" applyProtection="1">
      <alignment horizontal="right" vertical="center"/>
      <protection hidden="1"/>
    </xf>
    <xf numFmtId="0" fontId="14" fillId="0" borderId="64" xfId="0" applyFont="1" applyFill="1" applyBorder="1" applyAlignment="1" applyProtection="1">
      <alignment horizontal="right" vertical="center"/>
      <protection hidden="1"/>
    </xf>
    <xf numFmtId="0" fontId="14" fillId="0" borderId="39" xfId="0" applyFont="1" applyFill="1" applyBorder="1" applyAlignment="1" applyProtection="1">
      <alignment horizontal="right" vertical="center"/>
      <protection hidden="1"/>
    </xf>
    <xf numFmtId="0" fontId="14" fillId="0" borderId="30" xfId="0" applyFont="1" applyFill="1" applyBorder="1" applyAlignment="1" applyProtection="1">
      <alignment horizontal="right" vertical="center"/>
      <protection hidden="1"/>
    </xf>
    <xf numFmtId="0" fontId="18" fillId="0" borderId="40" xfId="0" applyFont="1" applyFill="1" applyBorder="1" applyAlignment="1" applyProtection="1">
      <alignment horizontal="center" vertical="center"/>
      <protection hidden="1"/>
    </xf>
    <xf numFmtId="0" fontId="18" fillId="0" borderId="20" xfId="0" applyFont="1" applyFill="1" applyBorder="1" applyAlignment="1" applyProtection="1">
      <alignment horizontal="center" vertical="center"/>
      <protection hidden="1"/>
    </xf>
    <xf numFmtId="0" fontId="18" fillId="0" borderId="21" xfId="0" applyFont="1" applyFill="1" applyBorder="1" applyAlignment="1" applyProtection="1">
      <alignment horizontal="center" vertical="center"/>
      <protection hidden="1"/>
    </xf>
    <xf numFmtId="0" fontId="18" fillId="0" borderId="41" xfId="0" applyFont="1" applyFill="1" applyBorder="1" applyAlignment="1" applyProtection="1">
      <alignment horizontal="center" vertical="center"/>
      <protection hidden="1"/>
    </xf>
    <xf numFmtId="0" fontId="18" fillId="0" borderId="42" xfId="0" applyFont="1" applyFill="1" applyBorder="1" applyAlignment="1" applyProtection="1">
      <alignment horizontal="center" vertical="center"/>
      <protection hidden="1"/>
    </xf>
    <xf numFmtId="0" fontId="18" fillId="0" borderId="43" xfId="0" applyFont="1" applyFill="1" applyBorder="1" applyAlignment="1" applyProtection="1">
      <alignment horizontal="center" vertical="center"/>
      <protection hidden="1"/>
    </xf>
    <xf numFmtId="0" fontId="18" fillId="0" borderId="19" xfId="0" applyFont="1" applyFill="1" applyBorder="1" applyAlignment="1" applyProtection="1">
      <alignment horizontal="center" vertical="center"/>
      <protection hidden="1"/>
    </xf>
    <xf numFmtId="0" fontId="18" fillId="0" borderId="45" xfId="0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4" xfId="0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47" xfId="0" applyFont="1" applyFill="1" applyBorder="1" applyAlignment="1" applyProtection="1">
      <alignment horizontal="center" vertical="center"/>
      <protection hidden="1"/>
    </xf>
    <xf numFmtId="0" fontId="15" fillId="12" borderId="31" xfId="0" applyFont="1" applyFill="1" applyBorder="1" applyAlignment="1" applyProtection="1">
      <alignment horizontal="center" vertical="center"/>
      <protection hidden="1"/>
    </xf>
    <xf numFmtId="0" fontId="57" fillId="0" borderId="17" xfId="0" applyFont="1" applyFill="1" applyBorder="1" applyAlignment="1" applyProtection="1">
      <alignment horizontal="center" vertical="center"/>
      <protection hidden="1"/>
    </xf>
    <xf numFmtId="0" fontId="57" fillId="0" borderId="22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15" fillId="12" borderId="32" xfId="0" applyFont="1" applyFill="1" applyBorder="1" applyAlignment="1" applyProtection="1">
      <alignment horizontal="center" vertical="center"/>
      <protection hidden="1"/>
    </xf>
    <xf numFmtId="0" fontId="57" fillId="0" borderId="36" xfId="0" applyFont="1" applyFill="1" applyBorder="1" applyAlignment="1" applyProtection="1">
      <alignment horizontal="center" vertical="center"/>
      <protection hidden="1"/>
    </xf>
    <xf numFmtId="0" fontId="57" fillId="0" borderId="38" xfId="0" applyFont="1" applyFill="1" applyBorder="1" applyAlignment="1" applyProtection="1">
      <alignment horizontal="center" vertical="center"/>
      <protection hidden="1"/>
    </xf>
    <xf numFmtId="0" fontId="57" fillId="0" borderId="64" xfId="0" applyFont="1" applyFill="1" applyBorder="1" applyAlignment="1" applyProtection="1">
      <alignment horizontal="center" vertical="center"/>
      <protection hidden="1"/>
    </xf>
    <xf numFmtId="0" fontId="57" fillId="0" borderId="26" xfId="0" applyFont="1" applyFill="1" applyBorder="1" applyAlignment="1" applyProtection="1">
      <alignment horizontal="center" vertical="center"/>
      <protection hidden="1"/>
    </xf>
    <xf numFmtId="0" fontId="57" fillId="0" borderId="59" xfId="0" applyFont="1" applyFill="1" applyBorder="1" applyAlignment="1" applyProtection="1">
      <alignment horizontal="center" vertical="center"/>
      <protection hidden="1"/>
    </xf>
    <xf numFmtId="0" fontId="57" fillId="0" borderId="57" xfId="0" applyFont="1" applyFill="1" applyBorder="1" applyAlignment="1" applyProtection="1">
      <alignment horizontal="center" vertical="center"/>
      <protection hidden="1"/>
    </xf>
    <xf numFmtId="0" fontId="57" fillId="0" borderId="33" xfId="0" applyFont="1" applyFill="1" applyBorder="1" applyAlignment="1" applyProtection="1">
      <alignment horizontal="center" vertical="center"/>
      <protection hidden="1"/>
    </xf>
    <xf numFmtId="0" fontId="54" fillId="0" borderId="1" xfId="0" applyFont="1" applyFill="1" applyBorder="1" applyAlignment="1" applyProtection="1">
      <alignment horizontal="center" vertical="center"/>
      <protection hidden="1"/>
    </xf>
    <xf numFmtId="0" fontId="54" fillId="0" borderId="23" xfId="0" applyFont="1" applyFill="1" applyBorder="1" applyAlignment="1" applyProtection="1">
      <alignment horizontal="center" vertical="center"/>
      <protection hidden="1"/>
    </xf>
    <xf numFmtId="0" fontId="54" fillId="0" borderId="4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Alignment="1" applyProtection="1">
      <alignment horizontal="center" vertical="center"/>
      <protection hidden="1"/>
    </xf>
    <xf numFmtId="0" fontId="54" fillId="0" borderId="5" xfId="0" applyFont="1" applyFill="1" applyBorder="1" applyAlignment="1" applyProtection="1">
      <alignment horizontal="center" vertical="center"/>
      <protection hidden="1"/>
    </xf>
    <xf numFmtId="0" fontId="54" fillId="0" borderId="26" xfId="0" applyFont="1" applyFill="1" applyBorder="1" applyAlignment="1" applyProtection="1">
      <alignment horizontal="center" vertical="center"/>
      <protection hidden="1"/>
    </xf>
    <xf numFmtId="0" fontId="54" fillId="0" borderId="59" xfId="0" applyFont="1" applyFill="1" applyBorder="1" applyAlignment="1" applyProtection="1">
      <alignment horizontal="center" vertical="center"/>
      <protection hidden="1"/>
    </xf>
    <xf numFmtId="0" fontId="54" fillId="0" borderId="27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23" xfId="0" applyFont="1" applyFill="1" applyBorder="1" applyAlignment="1" applyProtection="1">
      <alignment horizontal="left" vertical="center"/>
      <protection hidden="1"/>
    </xf>
    <xf numFmtId="0" fontId="13" fillId="0" borderId="24" xfId="0" applyFont="1" applyFill="1" applyBorder="1" applyAlignment="1" applyProtection="1">
      <alignment horizontal="left" vertical="center"/>
      <protection hidden="1"/>
    </xf>
    <xf numFmtId="0" fontId="13" fillId="0" borderId="28" xfId="0" applyFont="1" applyFill="1" applyBorder="1" applyAlignment="1" applyProtection="1">
      <alignment horizontal="left" vertical="center"/>
      <protection hidden="1"/>
    </xf>
    <xf numFmtId="0" fontId="13" fillId="0" borderId="29" xfId="0" applyFont="1" applyFill="1" applyBorder="1" applyAlignment="1" applyProtection="1">
      <alignment horizontal="left" vertical="center"/>
      <protection hidden="1"/>
    </xf>
    <xf numFmtId="0" fontId="13" fillId="0" borderId="30" xfId="0" applyFont="1" applyFill="1" applyBorder="1" applyAlignment="1" applyProtection="1">
      <alignment horizontal="left" vertical="center"/>
      <protection hidden="1"/>
    </xf>
    <xf numFmtId="0" fontId="14" fillId="0" borderId="1" xfId="0" applyFont="1" applyFill="1" applyBorder="1" applyAlignment="1" applyProtection="1">
      <alignment horizontal="left" vertical="center"/>
      <protection hidden="1"/>
    </xf>
    <xf numFmtId="0" fontId="14" fillId="0" borderId="23" xfId="0" applyFont="1" applyFill="1" applyBorder="1" applyAlignment="1" applyProtection="1">
      <alignment horizontal="left" vertical="center"/>
      <protection hidden="1"/>
    </xf>
    <xf numFmtId="0" fontId="14" fillId="0" borderId="24" xfId="0" applyFont="1" applyFill="1" applyBorder="1" applyAlignment="1" applyProtection="1">
      <alignment horizontal="left" vertical="center"/>
      <protection hidden="1"/>
    </xf>
    <xf numFmtId="0" fontId="58" fillId="0" borderId="9" xfId="0" applyFont="1" applyFill="1" applyBorder="1" applyAlignment="1" applyProtection="1">
      <alignment horizontal="center" vertical="center"/>
      <protection hidden="1"/>
    </xf>
    <xf numFmtId="14" fontId="58" fillId="0" borderId="10" xfId="0" applyNumberFormat="1" applyFont="1" applyFill="1" applyBorder="1" applyAlignment="1" applyProtection="1">
      <alignment horizontal="center" vertical="center"/>
      <protection hidden="1"/>
    </xf>
    <xf numFmtId="0" fontId="14" fillId="0" borderId="28" xfId="0" applyFont="1" applyFill="1" applyBorder="1" applyAlignment="1" applyProtection="1">
      <alignment horizontal="left" vertical="center"/>
      <protection hidden="1"/>
    </xf>
    <xf numFmtId="0" fontId="14" fillId="0" borderId="29" xfId="0" applyFont="1" applyFill="1" applyBorder="1" applyAlignment="1" applyProtection="1">
      <alignment horizontal="left" vertical="center"/>
      <protection hidden="1"/>
    </xf>
    <xf numFmtId="0" fontId="14" fillId="0" borderId="30" xfId="0" applyFont="1" applyFill="1" applyBorder="1" applyAlignment="1" applyProtection="1">
      <alignment horizontal="left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1" fillId="0" borderId="61" xfId="0" applyFont="1" applyFill="1" applyBorder="1" applyAlignment="1" applyProtection="1">
      <alignment horizontal="right" vertical="center" wrapText="1"/>
      <protection hidden="1"/>
    </xf>
    <xf numFmtId="0" fontId="1" fillId="0" borderId="3" xfId="0" applyFont="1" applyFill="1" applyBorder="1" applyAlignment="1" applyProtection="1">
      <alignment horizontal="right" vertical="center" wrapText="1"/>
      <protection hidden="1"/>
    </xf>
    <xf numFmtId="0" fontId="56" fillId="0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0" fontId="18" fillId="0" borderId="50" xfId="0" applyFont="1" applyBorder="1" applyAlignment="1" applyProtection="1">
      <alignment horizontal="center" vertical="center"/>
      <protection hidden="1"/>
    </xf>
    <xf numFmtId="0" fontId="18" fillId="0" borderId="52" xfId="0" applyFont="1" applyBorder="1" applyAlignment="1" applyProtection="1">
      <alignment horizontal="center" vertical="center"/>
      <protection hidden="1"/>
    </xf>
    <xf numFmtId="1" fontId="11" fillId="8" borderId="37" xfId="0" quotePrefix="1" applyNumberFormat="1" applyFont="1" applyFill="1" applyBorder="1" applyAlignment="1" applyProtection="1">
      <alignment horizontal="center" vertical="center"/>
      <protection hidden="1"/>
    </xf>
    <xf numFmtId="1" fontId="11" fillId="8" borderId="64" xfId="0" quotePrefix="1" applyNumberFormat="1" applyFont="1" applyFill="1" applyBorder="1" applyAlignment="1" applyProtection="1">
      <alignment horizontal="center" vertical="center"/>
      <protection hidden="1"/>
    </xf>
    <xf numFmtId="1" fontId="11" fillId="8" borderId="58" xfId="0" quotePrefix="1" applyNumberFormat="1" applyFont="1" applyFill="1" applyBorder="1" applyAlignment="1" applyProtection="1">
      <alignment horizontal="center" vertical="center"/>
      <protection hidden="1"/>
    </xf>
    <xf numFmtId="1" fontId="11" fillId="8" borderId="57" xfId="0" quotePrefix="1" applyNumberFormat="1" applyFont="1" applyFill="1" applyBorder="1" applyAlignment="1" applyProtection="1">
      <alignment horizontal="center" vertical="center"/>
      <protection hidden="1"/>
    </xf>
    <xf numFmtId="1" fontId="11" fillId="0" borderId="50" xfId="0" quotePrefix="1" applyNumberFormat="1" applyFont="1" applyBorder="1" applyAlignment="1" applyProtection="1">
      <alignment horizontal="center" vertical="center"/>
      <protection hidden="1"/>
    </xf>
    <xf numFmtId="1" fontId="11" fillId="0" borderId="52" xfId="0" quotePrefix="1" applyNumberFormat="1" applyFont="1" applyBorder="1" applyAlignment="1" applyProtection="1">
      <alignment horizontal="center" vertical="center"/>
      <protection hidden="1"/>
    </xf>
    <xf numFmtId="1" fontId="11" fillId="8" borderId="51" xfId="0" quotePrefix="1" applyNumberFormat="1" applyFont="1" applyFill="1" applyBorder="1" applyAlignment="1" applyProtection="1">
      <alignment horizontal="center" vertical="center"/>
      <protection hidden="1"/>
    </xf>
    <xf numFmtId="1" fontId="11" fillId="8" borderId="53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11" fillId="5" borderId="19" xfId="0" applyFont="1" applyFill="1" applyBorder="1" applyAlignment="1" applyProtection="1">
      <alignment horizontal="left" vertical="center"/>
      <protection hidden="1"/>
    </xf>
    <xf numFmtId="0" fontId="11" fillId="5" borderId="20" xfId="0" applyFont="1" applyFill="1" applyBorder="1" applyAlignment="1" applyProtection="1">
      <alignment horizontal="left" vertical="center"/>
      <protection hidden="1"/>
    </xf>
    <xf numFmtId="0" fontId="11" fillId="5" borderId="21" xfId="0" applyFont="1" applyFill="1" applyBorder="1" applyAlignment="1" applyProtection="1">
      <alignment horizontal="left" vertical="center"/>
      <protection hidden="1"/>
    </xf>
    <xf numFmtId="0" fontId="14" fillId="0" borderId="28" xfId="0" applyFont="1" applyBorder="1" applyAlignment="1" applyProtection="1">
      <alignment horizontal="left" vertical="center"/>
      <protection hidden="1"/>
    </xf>
    <xf numFmtId="0" fontId="14" fillId="0" borderId="29" xfId="0" applyFont="1" applyBorder="1" applyAlignment="1" applyProtection="1">
      <alignment horizontal="left" vertical="center"/>
      <protection hidden="1"/>
    </xf>
    <xf numFmtId="0" fontId="14" fillId="0" borderId="30" xfId="0" applyFont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6" fontId="11" fillId="0" borderId="19" xfId="0" applyNumberFormat="1" applyFont="1" applyFill="1" applyBorder="1" applyAlignment="1" applyProtection="1">
      <alignment vertical="center"/>
      <protection locked="0" hidden="1"/>
    </xf>
    <xf numFmtId="166" fontId="11" fillId="0" borderId="19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" fillId="0" borderId="61" xfId="0" applyFont="1" applyBorder="1" applyAlignment="1" applyProtection="1">
      <alignment horizontal="right" vertical="center" wrapText="1"/>
      <protection hidden="1"/>
    </xf>
    <xf numFmtId="0" fontId="1" fillId="0" borderId="3" xfId="0" applyFont="1" applyBorder="1" applyAlignment="1" applyProtection="1">
      <alignment horizontal="right" vertical="center" wrapText="1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49" fontId="11" fillId="8" borderId="51" xfId="0" applyNumberFormat="1" applyFont="1" applyFill="1" applyBorder="1" applyAlignment="1" applyProtection="1">
      <alignment horizontal="center" vertical="center"/>
      <protection locked="0"/>
    </xf>
    <xf numFmtId="49" fontId="11" fillId="8" borderId="53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/>
      <protection hidden="1"/>
    </xf>
    <xf numFmtId="0" fontId="14" fillId="0" borderId="23" xfId="0" applyFont="1" applyBorder="1" applyAlignment="1" applyProtection="1">
      <alignment horizontal="left" vertical="center"/>
      <protection hidden="1"/>
    </xf>
    <xf numFmtId="0" fontId="14" fillId="0" borderId="24" xfId="0" applyFont="1" applyBorder="1" applyAlignment="1" applyProtection="1">
      <alignment horizontal="left" vertical="center"/>
      <protection hidden="1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14" fontId="11" fillId="0" borderId="10" xfId="0" applyNumberFormat="1" applyFont="1" applyBorder="1" applyAlignment="1" applyProtection="1">
      <alignment horizontal="center" vertical="center"/>
      <protection hidden="1"/>
    </xf>
    <xf numFmtId="0" fontId="11" fillId="8" borderId="50" xfId="0" applyFont="1" applyFill="1" applyBorder="1" applyAlignment="1" applyProtection="1">
      <alignment horizontal="center" vertical="center"/>
      <protection locked="0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167" fontId="11" fillId="8" borderId="50" xfId="0" applyNumberFormat="1" applyFont="1" applyFill="1" applyBorder="1" applyAlignment="1" applyProtection="1">
      <alignment horizontal="center" vertical="center"/>
      <protection hidden="1"/>
    </xf>
    <xf numFmtId="167" fontId="11" fillId="8" borderId="15" xfId="0" applyNumberFormat="1" applyFont="1" applyFill="1" applyBorder="1" applyAlignment="1" applyProtection="1">
      <alignment horizontal="center" vertical="center"/>
      <protection hidden="1"/>
    </xf>
    <xf numFmtId="0" fontId="11" fillId="5" borderId="19" xfId="0" applyFont="1" applyFill="1" applyBorder="1" applyAlignment="1" applyProtection="1">
      <alignment horizontal="center" vertical="center" wrapText="1"/>
      <protection hidden="1"/>
    </xf>
    <xf numFmtId="0" fontId="20" fillId="5" borderId="37" xfId="0" applyFont="1" applyFill="1" applyBorder="1" applyAlignment="1" applyProtection="1">
      <alignment horizontal="center" vertical="center"/>
      <protection hidden="1"/>
    </xf>
    <xf numFmtId="0" fontId="11" fillId="5" borderId="45" xfId="0" applyFont="1" applyFill="1" applyBorder="1" applyAlignment="1" applyProtection="1">
      <alignment horizontal="left" vertical="center"/>
      <protection hidden="1"/>
    </xf>
    <xf numFmtId="0" fontId="11" fillId="5" borderId="42" xfId="0" applyFont="1" applyFill="1" applyBorder="1" applyAlignment="1" applyProtection="1">
      <alignment horizontal="left" vertical="center"/>
      <protection hidden="1"/>
    </xf>
    <xf numFmtId="0" fontId="11" fillId="5" borderId="43" xfId="0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46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vertical="center" wrapText="1"/>
      <protection hidden="1"/>
    </xf>
    <xf numFmtId="0" fontId="17" fillId="0" borderId="7" xfId="0" applyFont="1" applyBorder="1" applyAlignment="1" applyProtection="1">
      <alignment vertical="center"/>
      <protection hidden="1"/>
    </xf>
    <xf numFmtId="0" fontId="17" fillId="0" borderId="13" xfId="0" applyFont="1" applyBorder="1" applyAlignment="1" applyProtection="1">
      <alignment vertical="center" wrapText="1"/>
      <protection hidden="1"/>
    </xf>
    <xf numFmtId="0" fontId="17" fillId="0" borderId="15" xfId="0" applyFont="1" applyBorder="1" applyAlignment="1" applyProtection="1">
      <alignment vertical="center" wrapText="1"/>
      <protection hidden="1"/>
    </xf>
    <xf numFmtId="0" fontId="11" fillId="0" borderId="44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55" xfId="0" applyFont="1" applyBorder="1" applyAlignment="1" applyProtection="1">
      <alignment horizontal="center" vertical="center" wrapText="1"/>
      <protection hidden="1"/>
    </xf>
    <xf numFmtId="0" fontId="6" fillId="0" borderId="58" xfId="0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166" fontId="11" fillId="8" borderId="48" xfId="0" applyNumberFormat="1" applyFont="1" applyFill="1" applyBorder="1" applyAlignment="1" applyProtection="1">
      <alignment horizontal="center" vertical="center"/>
      <protection locked="0"/>
    </xf>
    <xf numFmtId="166" fontId="11" fillId="8" borderId="14" xfId="0" applyNumberFormat="1" applyFont="1" applyFill="1" applyBorder="1" applyAlignment="1" applyProtection="1">
      <alignment horizontal="center" vertical="center"/>
      <protection locked="0"/>
    </xf>
    <xf numFmtId="1" fontId="11" fillId="8" borderId="50" xfId="0" applyNumberFormat="1" applyFont="1" applyFill="1" applyBorder="1" applyAlignment="1" applyProtection="1">
      <alignment horizontal="center" vertical="center"/>
      <protection locked="0"/>
    </xf>
    <xf numFmtId="1" fontId="11" fillId="8" borderId="52" xfId="0" applyNumberFormat="1" applyFont="1" applyFill="1" applyBorder="1" applyAlignment="1" applyProtection="1">
      <alignment horizontal="center" vertical="center"/>
      <protection locked="0"/>
    </xf>
    <xf numFmtId="0" fontId="11" fillId="8" borderId="51" xfId="0" applyFont="1" applyFill="1" applyBorder="1" applyAlignment="1" applyProtection="1">
      <alignment horizontal="center" vertical="center"/>
      <protection hidden="1"/>
    </xf>
    <xf numFmtId="0" fontId="11" fillId="8" borderId="53" xfId="0" applyFont="1" applyFill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166" fontId="11" fillId="8" borderId="56" xfId="0" applyNumberFormat="1" applyFont="1" applyFill="1" applyBorder="1" applyAlignment="1" applyProtection="1">
      <alignment horizontal="center" vertical="center"/>
      <protection locked="0"/>
    </xf>
    <xf numFmtId="0" fontId="11" fillId="8" borderId="52" xfId="0" applyFont="1" applyFill="1" applyBorder="1" applyAlignment="1" applyProtection="1">
      <alignment horizontal="center" vertical="center"/>
      <protection locked="0"/>
    </xf>
    <xf numFmtId="167" fontId="11" fillId="8" borderId="52" xfId="0" applyNumberFormat="1" applyFont="1" applyFill="1" applyBorder="1" applyAlignment="1" applyProtection="1">
      <alignment horizontal="center" vertical="center"/>
      <protection hidden="1"/>
    </xf>
    <xf numFmtId="166" fontId="11" fillId="8" borderId="50" xfId="0" applyNumberFormat="1" applyFont="1" applyFill="1" applyBorder="1" applyAlignment="1" applyProtection="1">
      <alignment horizontal="center" vertical="center"/>
      <protection locked="0"/>
    </xf>
    <xf numFmtId="166" fontId="11" fillId="8" borderId="52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hidden="1"/>
    </xf>
    <xf numFmtId="166" fontId="11" fillId="8" borderId="15" xfId="0" applyNumberFormat="1" applyFont="1" applyFill="1" applyBorder="1" applyAlignment="1" applyProtection="1">
      <alignment horizontal="center" vertical="center"/>
      <protection locked="0"/>
    </xf>
    <xf numFmtId="1" fontId="11" fillId="8" borderId="15" xfId="0" applyNumberFormat="1" applyFont="1" applyFill="1" applyBorder="1" applyAlignment="1" applyProtection="1">
      <alignment horizontal="center" vertical="center"/>
      <protection locked="0"/>
    </xf>
    <xf numFmtId="0" fontId="11" fillId="8" borderId="16" xfId="0" applyFont="1" applyFill="1" applyBorder="1" applyAlignment="1" applyProtection="1">
      <alignment horizontal="center" vertical="center"/>
      <protection hidden="1"/>
    </xf>
    <xf numFmtId="49" fontId="11" fillId="5" borderId="18" xfId="0" applyNumberFormat="1" applyFont="1" applyFill="1" applyBorder="1" applyAlignment="1" applyProtection="1">
      <alignment horizontal="center" vertical="center"/>
      <protection locked="0" hidden="1"/>
    </xf>
    <xf numFmtId="0" fontId="2" fillId="2" borderId="60" xfId="0" applyFont="1" applyFill="1" applyBorder="1" applyAlignment="1" applyProtection="1">
      <alignment horizontal="center" vertical="center"/>
      <protection hidden="1"/>
    </xf>
    <xf numFmtId="0" fontId="3" fillId="0" borderId="61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2" borderId="59" xfId="0" applyFont="1" applyFill="1" applyBorder="1" applyAlignment="1" applyProtection="1">
      <alignment horizontal="center" vertical="center"/>
      <protection hidden="1"/>
    </xf>
    <xf numFmtId="0" fontId="25" fillId="0" borderId="61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1" fillId="5" borderId="49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1" fontId="11" fillId="8" borderId="37" xfId="0" applyNumberFormat="1" applyFont="1" applyFill="1" applyBorder="1" applyAlignment="1" applyProtection="1">
      <alignment horizontal="center" vertical="center"/>
      <protection hidden="1"/>
    </xf>
    <xf numFmtId="1" fontId="11" fillId="0" borderId="50" xfId="0" applyNumberFormat="1" applyFont="1" applyBorder="1" applyAlignment="1" applyProtection="1">
      <alignment horizontal="center" vertical="center"/>
      <protection hidden="1"/>
    </xf>
    <xf numFmtId="1" fontId="11" fillId="0" borderId="15" xfId="0" applyNumberFormat="1" applyFont="1" applyBorder="1" applyAlignment="1" applyProtection="1">
      <alignment horizontal="center" vertical="center"/>
      <protection hidden="1"/>
    </xf>
    <xf numFmtId="0" fontId="18" fillId="0" borderId="68" xfId="0" applyFont="1" applyBorder="1" applyAlignment="1" applyProtection="1">
      <alignment horizontal="center" vertical="center"/>
      <protection hidden="1"/>
    </xf>
    <xf numFmtId="0" fontId="18" fillId="0" borderId="69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70" xfId="0" applyFont="1" applyBorder="1" applyAlignment="1" applyProtection="1">
      <alignment horizontal="center" vertical="center"/>
      <protection hidden="1"/>
    </xf>
    <xf numFmtId="0" fontId="11" fillId="0" borderId="71" xfId="0" applyFont="1" applyBorder="1" applyAlignment="1" applyProtection="1">
      <alignment horizontal="center" vertical="center"/>
      <protection hidden="1"/>
    </xf>
    <xf numFmtId="1" fontId="11" fillId="8" borderId="51" xfId="0" applyNumberFormat="1" applyFont="1" applyFill="1" applyBorder="1" applyAlignment="1" applyProtection="1">
      <alignment horizontal="center" vertical="center"/>
      <protection hidden="1"/>
    </xf>
    <xf numFmtId="0" fontId="11" fillId="0" borderId="64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26" fillId="8" borderId="0" xfId="0" applyFont="1" applyFill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hidden="1"/>
    </xf>
    <xf numFmtId="0" fontId="17" fillId="0" borderId="26" xfId="0" applyFont="1" applyBorder="1" applyAlignment="1" applyProtection="1">
      <alignment horizontal="left" vertical="center"/>
      <protection hidden="1"/>
    </xf>
    <xf numFmtId="0" fontId="17" fillId="0" borderId="59" xfId="0" applyFont="1" applyBorder="1" applyAlignment="1" applyProtection="1">
      <alignment horizontal="left" vertical="center"/>
      <protection hidden="1"/>
    </xf>
    <xf numFmtId="49" fontId="11" fillId="8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7" borderId="76" xfId="0" applyFill="1" applyBorder="1" applyAlignment="1" applyProtection="1">
      <alignment horizontal="center" vertical="center"/>
      <protection hidden="1"/>
    </xf>
    <xf numFmtId="0" fontId="0" fillId="7" borderId="79" xfId="0" applyFill="1" applyBorder="1" applyAlignment="1" applyProtection="1">
      <alignment horizontal="center" vertical="center"/>
      <protection hidden="1"/>
    </xf>
    <xf numFmtId="0" fontId="0" fillId="7" borderId="81" xfId="0" applyFill="1" applyBorder="1" applyAlignment="1" applyProtection="1">
      <alignment horizontal="center" vertical="center"/>
      <protection hidden="1"/>
    </xf>
    <xf numFmtId="0" fontId="0" fillId="7" borderId="78" xfId="0" applyFill="1" applyBorder="1" applyAlignment="1" applyProtection="1">
      <alignment horizontal="center" vertical="center"/>
      <protection hidden="1"/>
    </xf>
    <xf numFmtId="0" fontId="0" fillId="7" borderId="80" xfId="0" applyFill="1" applyBorder="1" applyAlignment="1" applyProtection="1">
      <alignment horizontal="center" vertical="center"/>
      <protection hidden="1"/>
    </xf>
    <xf numFmtId="0" fontId="0" fillId="7" borderId="83" xfId="0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0" fillId="7" borderId="82" xfId="0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23" xfId="0" applyFont="1" applyBorder="1" applyAlignment="1" applyProtection="1">
      <alignment horizontal="left" vertical="center"/>
      <protection hidden="1"/>
    </xf>
    <xf numFmtId="0" fontId="13" fillId="0" borderId="24" xfId="0" applyFont="1" applyBorder="1" applyAlignment="1" applyProtection="1">
      <alignment horizontal="left" vertical="center"/>
      <protection hidden="1"/>
    </xf>
    <xf numFmtId="0" fontId="13" fillId="0" borderId="28" xfId="0" applyFont="1" applyBorder="1" applyAlignment="1" applyProtection="1">
      <alignment horizontal="left" vertical="center"/>
      <protection hidden="1"/>
    </xf>
    <xf numFmtId="0" fontId="13" fillId="0" borderId="29" xfId="0" applyFont="1" applyBorder="1" applyAlignment="1" applyProtection="1">
      <alignment horizontal="left" vertical="center"/>
      <protection hidden="1"/>
    </xf>
    <xf numFmtId="0" fontId="13" fillId="0" borderId="30" xfId="0" applyFont="1" applyBorder="1" applyAlignment="1" applyProtection="1">
      <alignment horizontal="left" vertical="center"/>
      <protection hidden="1"/>
    </xf>
    <xf numFmtId="0" fontId="15" fillId="2" borderId="31" xfId="0" applyFont="1" applyFill="1" applyBorder="1" applyAlignment="1" applyProtection="1">
      <alignment horizontal="center" vertical="center"/>
      <protection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5" fillId="2" borderId="32" xfId="0" applyFont="1" applyFill="1" applyBorder="1" applyAlignment="1" applyProtection="1">
      <alignment horizontal="center" vertical="center"/>
      <protection hidden="1"/>
    </xf>
    <xf numFmtId="0" fontId="16" fillId="0" borderId="36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64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59" xfId="0" applyFont="1" applyBorder="1" applyAlignment="1" applyProtection="1">
      <alignment horizontal="center" vertical="center"/>
      <protection hidden="1"/>
    </xf>
    <xf numFmtId="0" fontId="16" fillId="0" borderId="57" xfId="0" applyFont="1" applyBorder="1" applyAlignment="1" applyProtection="1">
      <alignment horizontal="center" vertical="center"/>
      <protection hidden="1"/>
    </xf>
    <xf numFmtId="0" fontId="16" fillId="0" borderId="33" xfId="0" applyFont="1" applyBorder="1" applyAlignment="1" applyProtection="1">
      <alignment horizontal="center" vertical="center"/>
      <protection hidden="1"/>
    </xf>
    <xf numFmtId="0" fontId="37" fillId="0" borderId="65" xfId="0" applyFont="1" applyBorder="1" applyAlignment="1" applyProtection="1">
      <alignment horizontal="center" vertical="center"/>
      <protection hidden="1"/>
    </xf>
    <xf numFmtId="0" fontId="37" fillId="0" borderId="65" xfId="0" applyFont="1" applyFill="1" applyBorder="1" applyAlignment="1" applyProtection="1">
      <alignment horizontal="center" vertical="center"/>
      <protection hidden="1"/>
    </xf>
    <xf numFmtId="164" fontId="37" fillId="4" borderId="84" xfId="3" applyFont="1" applyFill="1" applyBorder="1" applyAlignment="1" applyProtection="1">
      <alignment horizontal="center" vertical="center"/>
      <protection locked="0" hidden="1"/>
    </xf>
    <xf numFmtId="164" fontId="37" fillId="4" borderId="85" xfId="3" applyFont="1" applyFill="1" applyBorder="1" applyAlignment="1" applyProtection="1">
      <alignment horizontal="center" vertical="center"/>
      <protection locked="0" hidden="1"/>
    </xf>
    <xf numFmtId="164" fontId="37" fillId="4" borderId="86" xfId="3" applyFont="1" applyFill="1" applyBorder="1" applyAlignment="1" applyProtection="1">
      <alignment horizontal="center" vertical="center"/>
      <protection locked="0" hidden="1"/>
    </xf>
    <xf numFmtId="0" fontId="37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hidden="1"/>
    </xf>
    <xf numFmtId="0" fontId="41" fillId="0" borderId="0" xfId="0" applyFont="1" applyAlignment="1" applyProtection="1">
      <alignment horizontal="left"/>
      <protection hidden="1"/>
    </xf>
    <xf numFmtId="0" fontId="42" fillId="0" borderId="0" xfId="0" applyFont="1" applyAlignment="1" applyProtection="1">
      <alignment horizontal="left"/>
      <protection hidden="1"/>
    </xf>
    <xf numFmtId="0" fontId="43" fillId="4" borderId="65" xfId="0" applyFont="1" applyFill="1" applyBorder="1" applyAlignment="1" applyProtection="1">
      <alignment horizontal="center"/>
      <protection locked="0" hidden="1"/>
    </xf>
    <xf numFmtId="0" fontId="44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65" xfId="0" applyFill="1" applyBorder="1" applyAlignment="1" applyProtection="1">
      <alignment horizont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 vertical="top"/>
      <protection hidden="1"/>
    </xf>
    <xf numFmtId="0" fontId="14" fillId="0" borderId="66" xfId="0" applyFont="1" applyBorder="1" applyAlignment="1" applyProtection="1">
      <alignment horizontal="left" vertical="top"/>
      <protection hidden="1"/>
    </xf>
    <xf numFmtId="0" fontId="45" fillId="0" borderId="66" xfId="0" applyFont="1" applyBorder="1" applyAlignment="1" applyProtection="1">
      <alignment horizontal="left" vertical="top"/>
      <protection hidden="1"/>
    </xf>
    <xf numFmtId="0" fontId="44" fillId="0" borderId="0" xfId="0" applyFont="1" applyAlignment="1" applyProtection="1">
      <alignment horizontal="right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164" fontId="37" fillId="4" borderId="25" xfId="3" applyFont="1" applyFill="1" applyBorder="1" applyAlignment="1" applyProtection="1">
      <alignment horizontal="center" vertical="center"/>
      <protection locked="0" hidden="1"/>
    </xf>
    <xf numFmtId="164" fontId="43" fillId="0" borderId="0" xfId="3" applyFont="1" applyBorder="1" applyAlignment="1" applyProtection="1">
      <alignment horizontal="center" vertical="center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0" fontId="63" fillId="4" borderId="84" xfId="3" applyNumberFormat="1" applyFont="1" applyFill="1" applyBorder="1" applyAlignment="1" applyProtection="1">
      <alignment horizontal="center" vertical="center"/>
      <protection locked="0" hidden="1"/>
    </xf>
    <xf numFmtId="0" fontId="63" fillId="4" borderId="86" xfId="3" applyNumberFormat="1" applyFont="1" applyFill="1" applyBorder="1" applyAlignment="1" applyProtection="1">
      <alignment horizontal="center" vertical="center"/>
      <protection locked="0" hidden="1"/>
    </xf>
    <xf numFmtId="0" fontId="63" fillId="0" borderId="114" xfId="0" applyFont="1" applyBorder="1" applyAlignment="1" applyProtection="1">
      <alignment horizontal="right"/>
      <protection hidden="1"/>
    </xf>
    <xf numFmtId="0" fontId="63" fillId="0" borderId="115" xfId="0" applyFont="1" applyBorder="1" applyAlignment="1" applyProtection="1">
      <alignment horizontal="right"/>
      <protection hidden="1"/>
    </xf>
    <xf numFmtId="164" fontId="43" fillId="0" borderId="66" xfId="3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49" fontId="37" fillId="4" borderId="65" xfId="0" applyNumberFormat="1" applyFont="1" applyFill="1" applyBorder="1" applyAlignment="1" applyProtection="1">
      <alignment horizontal="center"/>
      <protection locked="0" hidden="1"/>
    </xf>
    <xf numFmtId="0" fontId="37" fillId="0" borderId="0" xfId="0" applyFont="1" applyFill="1" applyAlignment="1" applyProtection="1">
      <alignment horizontal="left"/>
      <protection hidden="1"/>
    </xf>
    <xf numFmtId="0" fontId="33" fillId="0" borderId="66" xfId="0" applyFont="1" applyBorder="1" applyAlignment="1" applyProtection="1">
      <alignment horizontal="left" vertical="top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48" fillId="9" borderId="0" xfId="0" applyFont="1" applyFill="1" applyAlignment="1" applyProtection="1">
      <alignment horizontal="center" vertical="center" textRotation="90"/>
      <protection hidden="1"/>
    </xf>
    <xf numFmtId="14" fontId="4" fillId="0" borderId="65" xfId="0" applyNumberFormat="1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left" vertical="top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45" fillId="0" borderId="0" xfId="0" applyFont="1" applyFill="1" applyAlignment="1" applyProtection="1">
      <alignment horizontal="left" vertical="center"/>
      <protection hidden="1"/>
    </xf>
    <xf numFmtId="0" fontId="4" fillId="0" borderId="65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4" fillId="0" borderId="65" xfId="0" applyFont="1" applyBorder="1" applyAlignment="1" applyProtection="1">
      <alignment horizontal="center"/>
      <protection hidden="1"/>
    </xf>
    <xf numFmtId="0" fontId="43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46" fillId="0" borderId="0" xfId="0" applyFont="1" applyFill="1" applyAlignment="1" applyProtection="1">
      <alignment horizontal="left" wrapText="1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37" fillId="0" borderId="65" xfId="0" applyFont="1" applyFill="1" applyBorder="1" applyAlignment="1" applyProtection="1">
      <alignment horizontal="center"/>
      <protection hidden="1"/>
    </xf>
    <xf numFmtId="0" fontId="37" fillId="0" borderId="84" xfId="0" applyFont="1" applyFill="1" applyBorder="1" applyAlignment="1" applyProtection="1">
      <alignment horizontal="center" vertical="center"/>
      <protection hidden="1"/>
    </xf>
    <xf numFmtId="0" fontId="37" fillId="0" borderId="86" xfId="0" applyFont="1" applyFill="1" applyBorder="1" applyAlignment="1" applyProtection="1">
      <alignment horizontal="center" vertical="center"/>
      <protection hidden="1"/>
    </xf>
    <xf numFmtId="0" fontId="46" fillId="0" borderId="0" xfId="0" applyFont="1" applyFill="1" applyBorder="1" applyAlignment="1" applyProtection="1">
      <alignment horizontal="left" vertical="center"/>
      <protection hidden="1"/>
    </xf>
    <xf numFmtId="0" fontId="37" fillId="0" borderId="85" xfId="0" applyFont="1" applyFill="1" applyBorder="1" applyAlignment="1" applyProtection="1">
      <alignment horizontal="center" vertical="center"/>
      <protection hidden="1"/>
    </xf>
    <xf numFmtId="165" fontId="0" fillId="0" borderId="0" xfId="2" applyFont="1" applyBorder="1" applyAlignment="1" applyProtection="1">
      <alignment horizontal="center"/>
      <protection hidden="1"/>
    </xf>
    <xf numFmtId="0" fontId="38" fillId="0" borderId="0" xfId="0" applyFont="1" applyFill="1" applyAlignment="1" applyProtection="1">
      <alignment horizontal="left"/>
      <protection hidden="1"/>
    </xf>
    <xf numFmtId="0" fontId="37" fillId="4" borderId="84" xfId="0" applyFont="1" applyFill="1" applyBorder="1" applyAlignment="1" applyProtection="1">
      <alignment horizontal="center" vertical="center"/>
      <protection locked="0" hidden="1"/>
    </xf>
    <xf numFmtId="0" fontId="37" fillId="4" borderId="86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 vertical="top" wrapText="1"/>
      <protection hidden="1"/>
    </xf>
    <xf numFmtId="0" fontId="38" fillId="4" borderId="0" xfId="0" applyFont="1" applyFill="1" applyAlignment="1" applyProtection="1">
      <alignment horizontal="center" vertical="top"/>
      <protection locked="0" hidden="1"/>
    </xf>
    <xf numFmtId="0" fontId="45" fillId="0" borderId="79" xfId="0" applyFont="1" applyFill="1" applyBorder="1" applyAlignment="1" applyProtection="1">
      <alignment horizontal="left" vertical="center"/>
      <protection hidden="1"/>
    </xf>
    <xf numFmtId="0" fontId="45" fillId="0" borderId="0" xfId="0" applyFont="1" applyFill="1" applyBorder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4" fillId="0" borderId="66" xfId="0" applyFont="1" applyBorder="1" applyAlignment="1" applyProtection="1">
      <alignment horizontal="left" vertical="top" wrapText="1"/>
      <protection hidden="1"/>
    </xf>
    <xf numFmtId="0" fontId="34" fillId="0" borderId="0" xfId="0" applyFont="1" applyAlignment="1" applyProtection="1">
      <alignment horizontal="left" vertical="top" wrapText="1"/>
      <protection hidden="1"/>
    </xf>
    <xf numFmtId="0" fontId="42" fillId="4" borderId="0" xfId="0" applyFont="1" applyFill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center"/>
      <protection hidden="1"/>
    </xf>
    <xf numFmtId="0" fontId="38" fillId="0" borderId="0" xfId="0" applyFont="1" applyFill="1" applyAlignment="1" applyProtection="1">
      <alignment horizontal="center" vertical="top"/>
      <protection hidden="1"/>
    </xf>
    <xf numFmtId="0" fontId="54" fillId="0" borderId="65" xfId="0" applyFont="1" applyFill="1" applyBorder="1" applyAlignment="1" applyProtection="1">
      <alignment horizontal="center"/>
      <protection hidden="1"/>
    </xf>
    <xf numFmtId="0" fontId="54" fillId="0" borderId="65" xfId="0" applyNumberFormat="1" applyFont="1" applyFill="1" applyBorder="1" applyAlignment="1" applyProtection="1">
      <alignment horizontal="center"/>
      <protection hidden="1"/>
    </xf>
    <xf numFmtId="0" fontId="54" fillId="4" borderId="65" xfId="0" applyFont="1" applyFill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left" vertical="top"/>
      <protection hidden="1"/>
    </xf>
    <xf numFmtId="0" fontId="14" fillId="10" borderId="0" xfId="0" applyFont="1" applyFill="1" applyBorder="1" applyAlignment="1" applyProtection="1">
      <alignment horizontal="center" vertical="center" wrapText="1"/>
      <protection hidden="1"/>
    </xf>
    <xf numFmtId="0" fontId="14" fillId="10" borderId="66" xfId="0" applyFont="1" applyFill="1" applyBorder="1" applyAlignment="1" applyProtection="1">
      <alignment horizontal="center" vertical="center" wrapText="1"/>
      <protection hidden="1"/>
    </xf>
    <xf numFmtId="49" fontId="54" fillId="4" borderId="65" xfId="0" applyNumberFormat="1" applyFont="1" applyFill="1" applyBorder="1" applyAlignment="1" applyProtection="1">
      <alignment horizontal="center"/>
      <protection locked="0"/>
    </xf>
    <xf numFmtId="0" fontId="37" fillId="0" borderId="66" xfId="0" applyFont="1" applyBorder="1" applyAlignment="1" applyProtection="1">
      <alignment horizontal="center" vertical="top"/>
      <protection hidden="1"/>
    </xf>
    <xf numFmtId="0" fontId="37" fillId="0" borderId="0" xfId="0" applyFont="1" applyAlignment="1" applyProtection="1">
      <alignment horizontal="center" vertical="top"/>
      <protection hidden="1"/>
    </xf>
    <xf numFmtId="0" fontId="54" fillId="4" borderId="65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 vertical="center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0" fontId="37" fillId="0" borderId="0" xfId="0" applyFont="1" applyAlignment="1" applyProtection="1">
      <alignment horizontal="center" vertical="top" wrapText="1"/>
      <protection hidden="1"/>
    </xf>
    <xf numFmtId="0" fontId="14" fillId="0" borderId="66" xfId="0" applyFont="1" applyBorder="1" applyAlignment="1" applyProtection="1">
      <alignment horizontal="center" vertical="center"/>
      <protection hidden="1"/>
    </xf>
    <xf numFmtId="0" fontId="45" fillId="0" borderId="66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0" fillId="10" borderId="65" xfId="0" applyFill="1" applyBorder="1" applyAlignment="1" applyProtection="1">
      <alignment horizontal="center"/>
      <protection hidden="1"/>
    </xf>
    <xf numFmtId="0" fontId="54" fillId="4" borderId="113" xfId="0" applyFont="1" applyFill="1" applyBorder="1" applyAlignment="1" applyProtection="1">
      <alignment horizontal="left" vertical="top" wrapText="1"/>
      <protection locked="0"/>
    </xf>
    <xf numFmtId="0" fontId="54" fillId="4" borderId="66" xfId="0" applyFont="1" applyFill="1" applyBorder="1" applyAlignment="1" applyProtection="1">
      <alignment horizontal="left" vertical="top" wrapText="1"/>
      <protection locked="0"/>
    </xf>
    <xf numFmtId="0" fontId="54" fillId="4" borderId="109" xfId="0" applyFont="1" applyFill="1" applyBorder="1" applyAlignment="1" applyProtection="1">
      <alignment horizontal="left" vertical="top" wrapText="1"/>
      <protection locked="0"/>
    </xf>
    <xf numFmtId="0" fontId="54" fillId="4" borderId="114" xfId="0" applyFont="1" applyFill="1" applyBorder="1" applyAlignment="1" applyProtection="1">
      <alignment horizontal="left" vertical="top" wrapText="1"/>
      <protection locked="0"/>
    </xf>
    <xf numFmtId="0" fontId="54" fillId="4" borderId="0" xfId="0" applyFont="1" applyFill="1" applyBorder="1" applyAlignment="1" applyProtection="1">
      <alignment horizontal="left" vertical="top" wrapText="1"/>
      <protection locked="0"/>
    </xf>
    <xf numFmtId="0" fontId="54" fillId="4" borderId="115" xfId="0" applyFont="1" applyFill="1" applyBorder="1" applyAlignment="1" applyProtection="1">
      <alignment horizontal="left" vertical="top" wrapText="1"/>
      <protection locked="0"/>
    </xf>
    <xf numFmtId="0" fontId="54" fillId="4" borderId="116" xfId="0" applyFont="1" applyFill="1" applyBorder="1" applyAlignment="1" applyProtection="1">
      <alignment horizontal="left" vertical="top" wrapText="1"/>
      <protection locked="0"/>
    </xf>
    <xf numFmtId="0" fontId="54" fillId="4" borderId="65" xfId="0" applyFont="1" applyFill="1" applyBorder="1" applyAlignment="1" applyProtection="1">
      <alignment horizontal="left" vertical="top" wrapText="1"/>
      <protection locked="0"/>
    </xf>
    <xf numFmtId="0" fontId="54" fillId="4" borderId="117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right"/>
      <protection hidden="1"/>
    </xf>
    <xf numFmtId="0" fontId="37" fillId="10" borderId="0" xfId="0" applyFont="1" applyFill="1" applyAlignment="1" applyProtection="1">
      <alignment horizontal="left" vertical="top" wrapText="1"/>
      <protection hidden="1"/>
    </xf>
    <xf numFmtId="0" fontId="37" fillId="10" borderId="0" xfId="0" applyFont="1" applyFill="1" applyAlignment="1" applyProtection="1">
      <alignment horizontal="center" vertical="center"/>
      <protection hidden="1"/>
    </xf>
    <xf numFmtId="0" fontId="37" fillId="10" borderId="0" xfId="0" applyFont="1" applyFill="1" applyAlignment="1" applyProtection="1">
      <alignment horizontal="left"/>
      <protection hidden="1"/>
    </xf>
    <xf numFmtId="0" fontId="54" fillId="4" borderId="65" xfId="0" applyFont="1" applyFill="1" applyBorder="1" applyAlignment="1" applyProtection="1">
      <alignment horizontal="center" vertical="top"/>
      <protection locked="0"/>
    </xf>
    <xf numFmtId="0" fontId="41" fillId="0" borderId="0" xfId="0" applyFont="1" applyAlignment="1" applyProtection="1">
      <alignment horizontal="center"/>
      <protection hidden="1"/>
    </xf>
    <xf numFmtId="0" fontId="46" fillId="0" borderId="84" xfId="0" applyFont="1" applyBorder="1" applyAlignment="1" applyProtection="1">
      <alignment horizontal="center"/>
      <protection hidden="1"/>
    </xf>
    <xf numFmtId="0" fontId="46" fillId="0" borderId="85" xfId="0" applyFont="1" applyBorder="1" applyAlignment="1" applyProtection="1">
      <alignment horizontal="center"/>
      <protection hidden="1"/>
    </xf>
    <xf numFmtId="0" fontId="23" fillId="12" borderId="26" xfId="0" applyFont="1" applyFill="1" applyBorder="1" applyAlignment="1" applyProtection="1">
      <alignment horizontal="center" vertical="center"/>
      <protection hidden="1"/>
    </xf>
    <xf numFmtId="0" fontId="23" fillId="12" borderId="27" xfId="0" applyFont="1" applyFill="1" applyBorder="1" applyAlignment="1" applyProtection="1">
      <alignment horizontal="center" vertical="center"/>
      <protection hidden="1"/>
    </xf>
  </cellXfs>
  <cellStyles count="5">
    <cellStyle name="Eingabe" xfId="4" builtinId="20"/>
    <cellStyle name="Komma" xfId="2" builtinId="3"/>
    <cellStyle name="Standard" xfId="0" builtinId="0"/>
    <cellStyle name="Stil 1" xfId="1" xr:uid="{AA2F5C32-B7F2-4106-BABA-DB9E30A1A788}"/>
    <cellStyle name="Währung" xfId="3" builtinId="4"/>
  </cellStyles>
  <dxfs count="6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" formatCode="0"/>
      <protection locked="0" hidden="0"/>
    </dxf>
    <dxf>
      <protection locked="1" hidden="1"/>
    </dxf>
    <dxf>
      <protection locked="1" hidden="1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00FF"/>
      <color rgb="FFB8B8B8"/>
      <color rgb="FFFFF2CC"/>
      <color rgb="FF50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firstButton="1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Radio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Radio" checked="Checked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lockText="1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firstButton="1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</xdr:row>
          <xdr:rowOff>28575</xdr:rowOff>
        </xdr:from>
        <xdr:to>
          <xdr:col>11</xdr:col>
          <xdr:colOff>790575</xdr:colOff>
          <xdr:row>2</xdr:row>
          <xdr:rowOff>123825</xdr:rowOff>
        </xdr:to>
        <xdr:sp macro="" textlink="">
          <xdr:nvSpPr>
            <xdr:cNvPr id="60417" name="ResetButton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1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Reset (alle Blätter)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54</xdr:row>
          <xdr:rowOff>38100</xdr:rowOff>
        </xdr:from>
        <xdr:to>
          <xdr:col>8</xdr:col>
          <xdr:colOff>400050</xdr:colOff>
          <xdr:row>56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53915</xdr:colOff>
      <xdr:row>0</xdr:row>
      <xdr:rowOff>89981</xdr:rowOff>
    </xdr:from>
    <xdr:to>
      <xdr:col>5</xdr:col>
      <xdr:colOff>310477</xdr:colOff>
      <xdr:row>4</xdr:row>
      <xdr:rowOff>143773</xdr:rowOff>
    </xdr:to>
    <xdr:pic>
      <xdr:nvPicPr>
        <xdr:cNvPr id="6" name="ISHD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3" t="15799" r="17363" b="16618"/>
        <a:stretch/>
      </xdr:blipFill>
      <xdr:spPr>
        <a:xfrm>
          <a:off x="53915" y="89981"/>
          <a:ext cx="1548649" cy="641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0</xdr:rowOff>
        </xdr:from>
        <xdr:to>
          <xdr:col>34</xdr:col>
          <xdr:colOff>9525</xdr:colOff>
          <xdr:row>16</xdr:row>
          <xdr:rowOff>0</xdr:rowOff>
        </xdr:to>
        <xdr:sp macro="" textlink="">
          <xdr:nvSpPr>
            <xdr:cNvPr id="1122" name="ResetButton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5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Check &amp; Drucken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</xdr:row>
          <xdr:rowOff>0</xdr:rowOff>
        </xdr:from>
        <xdr:to>
          <xdr:col>34</xdr:col>
          <xdr:colOff>9525</xdr:colOff>
          <xdr:row>4</xdr:row>
          <xdr:rowOff>95250</xdr:rowOff>
        </xdr:to>
        <xdr:sp macro="" textlink="">
          <xdr:nvSpPr>
            <xdr:cNvPr id="1124" name="ResetButton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5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Spielbeginn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</xdr:row>
          <xdr:rowOff>85725</xdr:rowOff>
        </xdr:from>
        <xdr:to>
          <xdr:col>34</xdr:col>
          <xdr:colOff>9525</xdr:colOff>
          <xdr:row>7</xdr:row>
          <xdr:rowOff>85725</xdr:rowOff>
        </xdr:to>
        <xdr:sp macro="" textlink="">
          <xdr:nvSpPr>
            <xdr:cNvPr id="1125" name="ResetButton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5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Spielende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54</xdr:row>
          <xdr:rowOff>38100</xdr:rowOff>
        </xdr:from>
        <xdr:to>
          <xdr:col>8</xdr:col>
          <xdr:colOff>400050</xdr:colOff>
          <xdr:row>56</xdr:row>
          <xdr:rowOff>28575</xdr:rowOff>
        </xdr:to>
        <xdr:sp macro="" textlink="">
          <xdr:nvSpPr>
            <xdr:cNvPr id="55840" name="Check Box 1568" hidden="1">
              <a:extLst>
                <a:ext uri="{63B3BB69-23CF-44E3-9099-C40C66FF867C}">
                  <a14:compatExt spid="_x0000_s55840"/>
                </a:ext>
                <a:ext uri="{FF2B5EF4-FFF2-40B4-BE49-F238E27FC236}">
                  <a16:creationId xmlns:a16="http://schemas.microsoft.com/office/drawing/2014/main" id="{00000000-0008-0000-0600-000020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1390650</xdr:colOff>
          <xdr:row>5</xdr:row>
          <xdr:rowOff>114300</xdr:rowOff>
        </xdr:from>
        <xdr:to>
          <xdr:col>13</xdr:col>
          <xdr:colOff>57150</xdr:colOff>
          <xdr:row>7</xdr:row>
          <xdr:rowOff>28575</xdr:rowOff>
        </xdr:to>
        <xdr:sp macro="" textlink="">
          <xdr:nvSpPr>
            <xdr:cNvPr id="55841" name="Check Box 1569" hidden="1">
              <a:extLst>
                <a:ext uri="{63B3BB69-23CF-44E3-9099-C40C66FF867C}">
                  <a14:compatExt spid="_x0000_s55841"/>
                </a:ext>
                <a:ext uri="{FF2B5EF4-FFF2-40B4-BE49-F238E27FC236}">
                  <a16:creationId xmlns:a16="http://schemas.microsoft.com/office/drawing/2014/main" id="{00000000-0008-0000-0600-000021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114300</xdr:rowOff>
        </xdr:from>
        <xdr:to>
          <xdr:col>14</xdr:col>
          <xdr:colOff>66675</xdr:colOff>
          <xdr:row>7</xdr:row>
          <xdr:rowOff>28575</xdr:rowOff>
        </xdr:to>
        <xdr:sp macro="" textlink="">
          <xdr:nvSpPr>
            <xdr:cNvPr id="55842" name="Check Box 1570" hidden="1">
              <a:extLst>
                <a:ext uri="{63B3BB69-23CF-44E3-9099-C40C66FF867C}">
                  <a14:compatExt spid="_x0000_s55842"/>
                </a:ext>
                <a:ext uri="{FF2B5EF4-FFF2-40B4-BE49-F238E27FC236}">
                  <a16:creationId xmlns:a16="http://schemas.microsoft.com/office/drawing/2014/main" id="{00000000-0008-0000-0600-000022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</xdr:row>
          <xdr:rowOff>114300</xdr:rowOff>
        </xdr:from>
        <xdr:to>
          <xdr:col>15</xdr:col>
          <xdr:colOff>57150</xdr:colOff>
          <xdr:row>7</xdr:row>
          <xdr:rowOff>28575</xdr:rowOff>
        </xdr:to>
        <xdr:sp macro="" textlink="">
          <xdr:nvSpPr>
            <xdr:cNvPr id="55843" name="Check Box 1571" hidden="1">
              <a:extLst>
                <a:ext uri="{63B3BB69-23CF-44E3-9099-C40C66FF867C}">
                  <a14:compatExt spid="_x0000_s55843"/>
                </a:ext>
                <a:ext uri="{FF2B5EF4-FFF2-40B4-BE49-F238E27FC236}">
                  <a16:creationId xmlns:a16="http://schemas.microsoft.com/office/drawing/2014/main" id="{00000000-0008-0000-0600-000023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1390650</xdr:colOff>
          <xdr:row>6</xdr:row>
          <xdr:rowOff>114300</xdr:rowOff>
        </xdr:from>
        <xdr:to>
          <xdr:col>13</xdr:col>
          <xdr:colOff>57150</xdr:colOff>
          <xdr:row>8</xdr:row>
          <xdr:rowOff>28575</xdr:rowOff>
        </xdr:to>
        <xdr:sp macro="" textlink="">
          <xdr:nvSpPr>
            <xdr:cNvPr id="55844" name="Check Box 1572" hidden="1">
              <a:extLst>
                <a:ext uri="{63B3BB69-23CF-44E3-9099-C40C66FF867C}">
                  <a14:compatExt spid="_x0000_s55844"/>
                </a:ext>
                <a:ext uri="{FF2B5EF4-FFF2-40B4-BE49-F238E27FC236}">
                  <a16:creationId xmlns:a16="http://schemas.microsoft.com/office/drawing/2014/main" id="{00000000-0008-0000-0600-000024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114300</xdr:rowOff>
        </xdr:from>
        <xdr:to>
          <xdr:col>14</xdr:col>
          <xdr:colOff>66675</xdr:colOff>
          <xdr:row>8</xdr:row>
          <xdr:rowOff>28575</xdr:rowOff>
        </xdr:to>
        <xdr:sp macro="" textlink="">
          <xdr:nvSpPr>
            <xdr:cNvPr id="55845" name="Check Box 1573" hidden="1">
              <a:extLst>
                <a:ext uri="{63B3BB69-23CF-44E3-9099-C40C66FF867C}">
                  <a14:compatExt spid="_x0000_s55845"/>
                </a:ext>
                <a:ext uri="{FF2B5EF4-FFF2-40B4-BE49-F238E27FC236}">
                  <a16:creationId xmlns:a16="http://schemas.microsoft.com/office/drawing/2014/main" id="{00000000-0008-0000-0600-000025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</xdr:row>
          <xdr:rowOff>114300</xdr:rowOff>
        </xdr:from>
        <xdr:to>
          <xdr:col>15</xdr:col>
          <xdr:colOff>57150</xdr:colOff>
          <xdr:row>8</xdr:row>
          <xdr:rowOff>28575</xdr:rowOff>
        </xdr:to>
        <xdr:sp macro="" textlink="">
          <xdr:nvSpPr>
            <xdr:cNvPr id="55846" name="Check Box 1574" hidden="1">
              <a:extLst>
                <a:ext uri="{63B3BB69-23CF-44E3-9099-C40C66FF867C}">
                  <a14:compatExt spid="_x0000_s55846"/>
                </a:ext>
                <a:ext uri="{FF2B5EF4-FFF2-40B4-BE49-F238E27FC236}">
                  <a16:creationId xmlns:a16="http://schemas.microsoft.com/office/drawing/2014/main" id="{00000000-0008-0000-0600-000026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25</xdr:row>
          <xdr:rowOff>38100</xdr:rowOff>
        </xdr:from>
        <xdr:to>
          <xdr:col>20</xdr:col>
          <xdr:colOff>400050</xdr:colOff>
          <xdr:row>27</xdr:row>
          <xdr:rowOff>28575</xdr:rowOff>
        </xdr:to>
        <xdr:sp macro="" textlink="">
          <xdr:nvSpPr>
            <xdr:cNvPr id="55847" name="Check Box 1575" hidden="1">
              <a:extLst>
                <a:ext uri="{63B3BB69-23CF-44E3-9099-C40C66FF867C}">
                  <a14:compatExt spid="_x0000_s55847"/>
                </a:ext>
                <a:ext uri="{FF2B5EF4-FFF2-40B4-BE49-F238E27FC236}">
                  <a16:creationId xmlns:a16="http://schemas.microsoft.com/office/drawing/2014/main" id="{00000000-0008-0000-0600-000027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25</xdr:row>
          <xdr:rowOff>38100</xdr:rowOff>
        </xdr:from>
        <xdr:to>
          <xdr:col>22</xdr:col>
          <xdr:colOff>28575</xdr:colOff>
          <xdr:row>27</xdr:row>
          <xdr:rowOff>28575</xdr:rowOff>
        </xdr:to>
        <xdr:sp macro="" textlink="">
          <xdr:nvSpPr>
            <xdr:cNvPr id="55848" name="Check Box 1576" hidden="1">
              <a:extLst>
                <a:ext uri="{63B3BB69-23CF-44E3-9099-C40C66FF867C}">
                  <a14:compatExt spid="_x0000_s55848"/>
                </a:ext>
                <a:ext uri="{FF2B5EF4-FFF2-40B4-BE49-F238E27FC236}">
                  <a16:creationId xmlns:a16="http://schemas.microsoft.com/office/drawing/2014/main" id="{00000000-0008-0000-0600-000028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38100</xdr:rowOff>
        </xdr:from>
        <xdr:to>
          <xdr:col>23</xdr:col>
          <xdr:colOff>19050</xdr:colOff>
          <xdr:row>27</xdr:row>
          <xdr:rowOff>28575</xdr:rowOff>
        </xdr:to>
        <xdr:sp macro="" textlink="">
          <xdr:nvSpPr>
            <xdr:cNvPr id="55849" name="Check Box 1577" hidden="1">
              <a:extLst>
                <a:ext uri="{63B3BB69-23CF-44E3-9099-C40C66FF867C}">
                  <a14:compatExt spid="_x0000_s55849"/>
                </a:ext>
                <a:ext uri="{FF2B5EF4-FFF2-40B4-BE49-F238E27FC236}">
                  <a16:creationId xmlns:a16="http://schemas.microsoft.com/office/drawing/2014/main" id="{00000000-0008-0000-0600-000029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25</xdr:row>
          <xdr:rowOff>38100</xdr:rowOff>
        </xdr:from>
        <xdr:to>
          <xdr:col>24</xdr:col>
          <xdr:colOff>28575</xdr:colOff>
          <xdr:row>27</xdr:row>
          <xdr:rowOff>28575</xdr:rowOff>
        </xdr:to>
        <xdr:sp macro="" textlink="">
          <xdr:nvSpPr>
            <xdr:cNvPr id="55850" name="Check Box 1578" hidden="1">
              <a:extLst>
                <a:ext uri="{63B3BB69-23CF-44E3-9099-C40C66FF867C}">
                  <a14:compatExt spid="_x0000_s55850"/>
                </a:ext>
                <a:ext uri="{FF2B5EF4-FFF2-40B4-BE49-F238E27FC236}">
                  <a16:creationId xmlns:a16="http://schemas.microsoft.com/office/drawing/2014/main" id="{00000000-0008-0000-0600-00002A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54</xdr:row>
          <xdr:rowOff>38100</xdr:rowOff>
        </xdr:from>
        <xdr:to>
          <xdr:col>20</xdr:col>
          <xdr:colOff>400050</xdr:colOff>
          <xdr:row>56</xdr:row>
          <xdr:rowOff>28575</xdr:rowOff>
        </xdr:to>
        <xdr:sp macro="" textlink="">
          <xdr:nvSpPr>
            <xdr:cNvPr id="55851" name="Check Box 1579" hidden="1">
              <a:extLst>
                <a:ext uri="{63B3BB69-23CF-44E3-9099-C40C66FF867C}">
                  <a14:compatExt spid="_x0000_s55851"/>
                </a:ext>
                <a:ext uri="{FF2B5EF4-FFF2-40B4-BE49-F238E27FC236}">
                  <a16:creationId xmlns:a16="http://schemas.microsoft.com/office/drawing/2014/main" id="{00000000-0008-0000-0600-00002B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54</xdr:row>
          <xdr:rowOff>38100</xdr:rowOff>
        </xdr:from>
        <xdr:to>
          <xdr:col>22</xdr:col>
          <xdr:colOff>28575</xdr:colOff>
          <xdr:row>56</xdr:row>
          <xdr:rowOff>28575</xdr:rowOff>
        </xdr:to>
        <xdr:sp macro="" textlink="">
          <xdr:nvSpPr>
            <xdr:cNvPr id="55852" name="Check Box 1580" hidden="1">
              <a:extLst>
                <a:ext uri="{63B3BB69-23CF-44E3-9099-C40C66FF867C}">
                  <a14:compatExt spid="_x0000_s55852"/>
                </a:ext>
                <a:ext uri="{FF2B5EF4-FFF2-40B4-BE49-F238E27FC236}">
                  <a16:creationId xmlns:a16="http://schemas.microsoft.com/office/drawing/2014/main" id="{00000000-0008-0000-0600-00002C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54</xdr:row>
          <xdr:rowOff>38100</xdr:rowOff>
        </xdr:from>
        <xdr:to>
          <xdr:col>23</xdr:col>
          <xdr:colOff>19050</xdr:colOff>
          <xdr:row>56</xdr:row>
          <xdr:rowOff>28575</xdr:rowOff>
        </xdr:to>
        <xdr:sp macro="" textlink="">
          <xdr:nvSpPr>
            <xdr:cNvPr id="55853" name="Check Box 1581" hidden="1">
              <a:extLst>
                <a:ext uri="{63B3BB69-23CF-44E3-9099-C40C66FF867C}">
                  <a14:compatExt spid="_x0000_s55853"/>
                </a:ext>
                <a:ext uri="{FF2B5EF4-FFF2-40B4-BE49-F238E27FC236}">
                  <a16:creationId xmlns:a16="http://schemas.microsoft.com/office/drawing/2014/main" id="{00000000-0008-0000-0600-00002D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54</xdr:row>
          <xdr:rowOff>38100</xdr:rowOff>
        </xdr:from>
        <xdr:to>
          <xdr:col>24</xdr:col>
          <xdr:colOff>28575</xdr:colOff>
          <xdr:row>56</xdr:row>
          <xdr:rowOff>28575</xdr:rowOff>
        </xdr:to>
        <xdr:sp macro="" textlink="">
          <xdr:nvSpPr>
            <xdr:cNvPr id="55854" name="Check Box 1582" hidden="1">
              <a:extLst>
                <a:ext uri="{63B3BB69-23CF-44E3-9099-C40C66FF867C}">
                  <a14:compatExt spid="_x0000_s55854"/>
                </a:ext>
                <a:ext uri="{FF2B5EF4-FFF2-40B4-BE49-F238E27FC236}">
                  <a16:creationId xmlns:a16="http://schemas.microsoft.com/office/drawing/2014/main" id="{00000000-0008-0000-0600-00002E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1390650</xdr:colOff>
          <xdr:row>34</xdr:row>
          <xdr:rowOff>114300</xdr:rowOff>
        </xdr:from>
        <xdr:to>
          <xdr:col>13</xdr:col>
          <xdr:colOff>57150</xdr:colOff>
          <xdr:row>36</xdr:row>
          <xdr:rowOff>28575</xdr:rowOff>
        </xdr:to>
        <xdr:sp macro="" textlink="">
          <xdr:nvSpPr>
            <xdr:cNvPr id="55855" name="Check Box 1583" hidden="1">
              <a:extLst>
                <a:ext uri="{63B3BB69-23CF-44E3-9099-C40C66FF867C}">
                  <a14:compatExt spid="_x0000_s55855"/>
                </a:ext>
                <a:ext uri="{FF2B5EF4-FFF2-40B4-BE49-F238E27FC236}">
                  <a16:creationId xmlns:a16="http://schemas.microsoft.com/office/drawing/2014/main" id="{00000000-0008-0000-0600-00002F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1390650</xdr:colOff>
          <xdr:row>35</xdr:row>
          <xdr:rowOff>123825</xdr:rowOff>
        </xdr:from>
        <xdr:to>
          <xdr:col>13</xdr:col>
          <xdr:colOff>57150</xdr:colOff>
          <xdr:row>37</xdr:row>
          <xdr:rowOff>38100</xdr:rowOff>
        </xdr:to>
        <xdr:sp macro="" textlink="">
          <xdr:nvSpPr>
            <xdr:cNvPr id="55856" name="Check Box 1584" hidden="1">
              <a:extLst>
                <a:ext uri="{63B3BB69-23CF-44E3-9099-C40C66FF867C}">
                  <a14:compatExt spid="_x0000_s55856"/>
                </a:ext>
                <a:ext uri="{FF2B5EF4-FFF2-40B4-BE49-F238E27FC236}">
                  <a16:creationId xmlns:a16="http://schemas.microsoft.com/office/drawing/2014/main" id="{00000000-0008-0000-0600-000030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34</xdr:row>
          <xdr:rowOff>114300</xdr:rowOff>
        </xdr:from>
        <xdr:to>
          <xdr:col>14</xdr:col>
          <xdr:colOff>57150</xdr:colOff>
          <xdr:row>36</xdr:row>
          <xdr:rowOff>28575</xdr:rowOff>
        </xdr:to>
        <xdr:sp macro="" textlink="">
          <xdr:nvSpPr>
            <xdr:cNvPr id="55857" name="Check Box 1585" hidden="1">
              <a:extLst>
                <a:ext uri="{63B3BB69-23CF-44E3-9099-C40C66FF867C}">
                  <a14:compatExt spid="_x0000_s55857"/>
                </a:ext>
                <a:ext uri="{FF2B5EF4-FFF2-40B4-BE49-F238E27FC236}">
                  <a16:creationId xmlns:a16="http://schemas.microsoft.com/office/drawing/2014/main" id="{00000000-0008-0000-0600-000031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35</xdr:row>
          <xdr:rowOff>123825</xdr:rowOff>
        </xdr:from>
        <xdr:to>
          <xdr:col>14</xdr:col>
          <xdr:colOff>57150</xdr:colOff>
          <xdr:row>37</xdr:row>
          <xdr:rowOff>38100</xdr:rowOff>
        </xdr:to>
        <xdr:sp macro="" textlink="">
          <xdr:nvSpPr>
            <xdr:cNvPr id="55858" name="Check Box 1586" hidden="1">
              <a:extLst>
                <a:ext uri="{63B3BB69-23CF-44E3-9099-C40C66FF867C}">
                  <a14:compatExt spid="_x0000_s55858"/>
                </a:ext>
                <a:ext uri="{FF2B5EF4-FFF2-40B4-BE49-F238E27FC236}">
                  <a16:creationId xmlns:a16="http://schemas.microsoft.com/office/drawing/2014/main" id="{00000000-0008-0000-0600-000032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34</xdr:row>
          <xdr:rowOff>114300</xdr:rowOff>
        </xdr:from>
        <xdr:to>
          <xdr:col>15</xdr:col>
          <xdr:colOff>57150</xdr:colOff>
          <xdr:row>36</xdr:row>
          <xdr:rowOff>28575</xdr:rowOff>
        </xdr:to>
        <xdr:sp macro="" textlink="">
          <xdr:nvSpPr>
            <xdr:cNvPr id="55859" name="Check Box 1587" hidden="1">
              <a:extLst>
                <a:ext uri="{63B3BB69-23CF-44E3-9099-C40C66FF867C}">
                  <a14:compatExt spid="_x0000_s55859"/>
                </a:ext>
                <a:ext uri="{FF2B5EF4-FFF2-40B4-BE49-F238E27FC236}">
                  <a16:creationId xmlns:a16="http://schemas.microsoft.com/office/drawing/2014/main" id="{00000000-0008-0000-0600-000033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35</xdr:row>
          <xdr:rowOff>123825</xdr:rowOff>
        </xdr:from>
        <xdr:to>
          <xdr:col>15</xdr:col>
          <xdr:colOff>57150</xdr:colOff>
          <xdr:row>37</xdr:row>
          <xdr:rowOff>38100</xdr:rowOff>
        </xdr:to>
        <xdr:sp macro="" textlink="">
          <xdr:nvSpPr>
            <xdr:cNvPr id="55860" name="Check Box 1588" hidden="1">
              <a:extLst>
                <a:ext uri="{63B3BB69-23CF-44E3-9099-C40C66FF867C}">
                  <a14:compatExt spid="_x0000_s55860"/>
                </a:ext>
                <a:ext uri="{FF2B5EF4-FFF2-40B4-BE49-F238E27FC236}">
                  <a16:creationId xmlns:a16="http://schemas.microsoft.com/office/drawing/2014/main" id="{00000000-0008-0000-0600-000034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53915</xdr:colOff>
      <xdr:row>0</xdr:row>
      <xdr:rowOff>89981</xdr:rowOff>
    </xdr:from>
    <xdr:to>
      <xdr:col>5</xdr:col>
      <xdr:colOff>310477</xdr:colOff>
      <xdr:row>4</xdr:row>
      <xdr:rowOff>143773</xdr:rowOff>
    </xdr:to>
    <xdr:pic>
      <xdr:nvPicPr>
        <xdr:cNvPr id="265" name="ISHD_Logo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3" t="15799" r="17363" b="16618"/>
        <a:stretch/>
      </xdr:blipFill>
      <xdr:spPr>
        <a:xfrm>
          <a:off x="53915" y="89981"/>
          <a:ext cx="1542437" cy="6348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</xdr:row>
          <xdr:rowOff>0</xdr:rowOff>
        </xdr:from>
        <xdr:to>
          <xdr:col>34</xdr:col>
          <xdr:colOff>9525</xdr:colOff>
          <xdr:row>3</xdr:row>
          <xdr:rowOff>95250</xdr:rowOff>
        </xdr:to>
        <xdr:sp macro="" textlink="">
          <xdr:nvSpPr>
            <xdr:cNvPr id="55861" name="ResetButton" hidden="1">
              <a:extLst>
                <a:ext uri="{63B3BB69-23CF-44E3-9099-C40C66FF867C}">
                  <a14:compatExt spid="_x0000_s55861"/>
                </a:ext>
                <a:ext uri="{FF2B5EF4-FFF2-40B4-BE49-F238E27FC236}">
                  <a16:creationId xmlns:a16="http://schemas.microsoft.com/office/drawing/2014/main" id="{00000000-0008-0000-0600-000035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 &amp; Reset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15</xdr:row>
          <xdr:rowOff>104775</xdr:rowOff>
        </xdr:from>
        <xdr:to>
          <xdr:col>5</xdr:col>
          <xdr:colOff>523875</xdr:colOff>
          <xdr:row>17</xdr:row>
          <xdr:rowOff>19050</xdr:rowOff>
        </xdr:to>
        <xdr:sp macro="" textlink="">
          <xdr:nvSpPr>
            <xdr:cNvPr id="55862" name="Option Button 1590" hidden="1">
              <a:extLst>
                <a:ext uri="{63B3BB69-23CF-44E3-9099-C40C66FF867C}">
                  <a14:compatExt spid="_x0000_s55862"/>
                </a:ext>
                <a:ext uri="{FF2B5EF4-FFF2-40B4-BE49-F238E27FC236}">
                  <a16:creationId xmlns:a16="http://schemas.microsoft.com/office/drawing/2014/main" id="{00000000-0008-0000-0600-000036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17</xdr:row>
          <xdr:rowOff>114300</xdr:rowOff>
        </xdr:from>
        <xdr:to>
          <xdr:col>5</xdr:col>
          <xdr:colOff>523875</xdr:colOff>
          <xdr:row>19</xdr:row>
          <xdr:rowOff>28575</xdr:rowOff>
        </xdr:to>
        <xdr:sp macro="" textlink="">
          <xdr:nvSpPr>
            <xdr:cNvPr id="55863" name="Option Button 1591" hidden="1">
              <a:extLst>
                <a:ext uri="{63B3BB69-23CF-44E3-9099-C40C66FF867C}">
                  <a14:compatExt spid="_x0000_s55863"/>
                </a:ext>
                <a:ext uri="{FF2B5EF4-FFF2-40B4-BE49-F238E27FC236}">
                  <a16:creationId xmlns:a16="http://schemas.microsoft.com/office/drawing/2014/main" id="{00000000-0008-0000-0600-000037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15</xdr:row>
          <xdr:rowOff>114300</xdr:rowOff>
        </xdr:from>
        <xdr:to>
          <xdr:col>8</xdr:col>
          <xdr:colOff>428625</xdr:colOff>
          <xdr:row>17</xdr:row>
          <xdr:rowOff>28575</xdr:rowOff>
        </xdr:to>
        <xdr:sp macro="" textlink="">
          <xdr:nvSpPr>
            <xdr:cNvPr id="55864" name="Option Button 1592" hidden="1">
              <a:extLst>
                <a:ext uri="{63B3BB69-23CF-44E3-9099-C40C66FF867C}">
                  <a14:compatExt spid="_x0000_s55864"/>
                </a:ext>
                <a:ext uri="{FF2B5EF4-FFF2-40B4-BE49-F238E27FC236}">
                  <a16:creationId xmlns:a16="http://schemas.microsoft.com/office/drawing/2014/main" id="{00000000-0008-0000-0600-000038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16</xdr:row>
          <xdr:rowOff>114300</xdr:rowOff>
        </xdr:from>
        <xdr:to>
          <xdr:col>8</xdr:col>
          <xdr:colOff>428625</xdr:colOff>
          <xdr:row>18</xdr:row>
          <xdr:rowOff>28575</xdr:rowOff>
        </xdr:to>
        <xdr:sp macro="" textlink="">
          <xdr:nvSpPr>
            <xdr:cNvPr id="55865" name="Option Button 1593" hidden="1">
              <a:extLst>
                <a:ext uri="{63B3BB69-23CF-44E3-9099-C40C66FF867C}">
                  <a14:compatExt spid="_x0000_s55865"/>
                </a:ext>
                <a:ext uri="{FF2B5EF4-FFF2-40B4-BE49-F238E27FC236}">
                  <a16:creationId xmlns:a16="http://schemas.microsoft.com/office/drawing/2014/main" id="{00000000-0008-0000-0600-000039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16</xdr:row>
          <xdr:rowOff>114300</xdr:rowOff>
        </xdr:from>
        <xdr:to>
          <xdr:col>5</xdr:col>
          <xdr:colOff>523875</xdr:colOff>
          <xdr:row>18</xdr:row>
          <xdr:rowOff>28575</xdr:rowOff>
        </xdr:to>
        <xdr:sp macro="" textlink="">
          <xdr:nvSpPr>
            <xdr:cNvPr id="55866" name="Option Button 1594" hidden="1">
              <a:extLst>
                <a:ext uri="{63B3BB69-23CF-44E3-9099-C40C66FF867C}">
                  <a14:compatExt spid="_x0000_s55866"/>
                </a:ext>
                <a:ext uri="{FF2B5EF4-FFF2-40B4-BE49-F238E27FC236}">
                  <a16:creationId xmlns:a16="http://schemas.microsoft.com/office/drawing/2014/main" id="{00000000-0008-0000-0600-00003AD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58737</xdr:colOff>
      <xdr:row>0</xdr:row>
      <xdr:rowOff>3970</xdr:rowOff>
    </xdr:from>
    <xdr:to>
      <xdr:col>22</xdr:col>
      <xdr:colOff>406854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137" y="3970"/>
          <a:ext cx="2526605" cy="1034255"/>
        </a:xfrm>
        <a:prstGeom prst="rect">
          <a:avLst/>
        </a:prstGeom>
      </xdr:spPr>
    </xdr:pic>
    <xdr:clientData/>
  </xdr:twoCellAnchor>
  <xdr:twoCellAnchor>
    <xdr:from>
      <xdr:col>0</xdr:col>
      <xdr:colOff>373674</xdr:colOff>
      <xdr:row>58</xdr:row>
      <xdr:rowOff>20895</xdr:rowOff>
    </xdr:from>
    <xdr:to>
      <xdr:col>20</xdr:col>
      <xdr:colOff>710745</xdr:colOff>
      <xdr:row>58</xdr:row>
      <xdr:rowOff>20895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>
          <a:grpSpLocks/>
        </xdr:cNvGrpSpPr>
      </xdr:nvGrpSpPr>
      <xdr:grpSpPr bwMode="auto">
        <a:xfrm>
          <a:off x="373674" y="10616636"/>
          <a:ext cx="6053385" cy="0"/>
          <a:chOff x="1078" y="369"/>
          <a:chExt cx="9902" cy="0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78" y="369"/>
            <a:ext cx="2475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3572" y="369"/>
            <a:ext cx="2458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049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8524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380999</xdr:colOff>
      <xdr:row>50</xdr:row>
      <xdr:rowOff>159729</xdr:rowOff>
    </xdr:from>
    <xdr:to>
      <xdr:col>6</xdr:col>
      <xdr:colOff>11906</xdr:colOff>
      <xdr:row>53</xdr:row>
      <xdr:rowOff>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380999" y="9310298"/>
          <a:ext cx="1857786" cy="411772"/>
          <a:chOff x="1080" y="-163"/>
          <a:chExt cx="1797" cy="566"/>
        </a:xfrm>
      </xdr:grpSpPr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Text Box 10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xdr:twoCellAnchor>
    <xdr:from>
      <xdr:col>2</xdr:col>
      <xdr:colOff>4763</xdr:colOff>
      <xdr:row>10</xdr:row>
      <xdr:rowOff>260152</xdr:rowOff>
    </xdr:from>
    <xdr:to>
      <xdr:col>15</xdr:col>
      <xdr:colOff>5953</xdr:colOff>
      <xdr:row>12</xdr:row>
      <xdr:rowOff>14884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pSpPr/>
      </xdr:nvGrpSpPr>
      <xdr:grpSpPr>
        <a:xfrm>
          <a:off x="484297" y="2401635"/>
          <a:ext cx="3778346" cy="181715"/>
          <a:chOff x="385763" y="2427090"/>
          <a:chExt cx="4079080" cy="219075"/>
        </a:xfrm>
      </xdr:grpSpPr>
      <xdr:sp macro="" textlink="">
        <xdr:nvSpPr>
          <xdr:cNvPr id="49222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700-000046C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49223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700-000047C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49224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700-000048C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49225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700-000049C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36</xdr:row>
          <xdr:rowOff>0</xdr:rowOff>
        </xdr:from>
        <xdr:to>
          <xdr:col>1</xdr:col>
          <xdr:colOff>95250</xdr:colOff>
          <xdr:row>37</xdr:row>
          <xdr:rowOff>0</xdr:rowOff>
        </xdr:to>
        <xdr:sp macro="" textlink="">
          <xdr:nvSpPr>
            <xdr:cNvPr id="49286" name="Check Box 134" hidden="1">
              <a:extLst>
                <a:ext uri="{63B3BB69-23CF-44E3-9099-C40C66FF867C}">
                  <a14:compatExt spid="_x0000_s49286"/>
                </a:ext>
                <a:ext uri="{FF2B5EF4-FFF2-40B4-BE49-F238E27FC236}">
                  <a16:creationId xmlns:a16="http://schemas.microsoft.com/office/drawing/2014/main" id="{00000000-0008-0000-0700-00008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46</xdr:row>
          <xdr:rowOff>0</xdr:rowOff>
        </xdr:from>
        <xdr:to>
          <xdr:col>1</xdr:col>
          <xdr:colOff>95250</xdr:colOff>
          <xdr:row>47</xdr:row>
          <xdr:rowOff>0</xdr:rowOff>
        </xdr:to>
        <xdr:sp macro="" textlink="">
          <xdr:nvSpPr>
            <xdr:cNvPr id="49287" name="Check Box 135" hidden="1">
              <a:extLst>
                <a:ext uri="{63B3BB69-23CF-44E3-9099-C40C66FF867C}">
                  <a14:compatExt spid="_x0000_s49287"/>
                </a:ext>
                <a:ext uri="{FF2B5EF4-FFF2-40B4-BE49-F238E27FC236}">
                  <a16:creationId xmlns:a16="http://schemas.microsoft.com/office/drawing/2014/main" id="{00000000-0008-0000-0700-00008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35</xdr:row>
          <xdr:rowOff>0</xdr:rowOff>
        </xdr:from>
        <xdr:to>
          <xdr:col>1</xdr:col>
          <xdr:colOff>95250</xdr:colOff>
          <xdr:row>36</xdr:row>
          <xdr:rowOff>0</xdr:rowOff>
        </xdr:to>
        <xdr:sp macro="" textlink="">
          <xdr:nvSpPr>
            <xdr:cNvPr id="49288" name="Check Box 136" hidden="1">
              <a:extLst>
                <a:ext uri="{63B3BB69-23CF-44E3-9099-C40C66FF867C}">
                  <a14:compatExt spid="_x0000_s49288"/>
                </a:ext>
                <a:ext uri="{FF2B5EF4-FFF2-40B4-BE49-F238E27FC236}">
                  <a16:creationId xmlns:a16="http://schemas.microsoft.com/office/drawing/2014/main" id="{00000000-0008-0000-0700-00008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34</xdr:row>
          <xdr:rowOff>0</xdr:rowOff>
        </xdr:from>
        <xdr:to>
          <xdr:col>1</xdr:col>
          <xdr:colOff>95250</xdr:colOff>
          <xdr:row>35</xdr:row>
          <xdr:rowOff>0</xdr:rowOff>
        </xdr:to>
        <xdr:sp macro="" textlink="">
          <xdr:nvSpPr>
            <xdr:cNvPr id="49289" name="Check Box 137" hidden="1">
              <a:extLst>
                <a:ext uri="{63B3BB69-23CF-44E3-9099-C40C66FF867C}">
                  <a14:compatExt spid="_x0000_s49289"/>
                </a:ext>
                <a:ext uri="{FF2B5EF4-FFF2-40B4-BE49-F238E27FC236}">
                  <a16:creationId xmlns:a16="http://schemas.microsoft.com/office/drawing/2014/main" id="{00000000-0008-0000-0700-00008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33</xdr:row>
          <xdr:rowOff>0</xdr:rowOff>
        </xdr:from>
        <xdr:to>
          <xdr:col>1</xdr:col>
          <xdr:colOff>95250</xdr:colOff>
          <xdr:row>34</xdr:row>
          <xdr:rowOff>0</xdr:rowOff>
        </xdr:to>
        <xdr:sp macro="" textlink="">
          <xdr:nvSpPr>
            <xdr:cNvPr id="49290" name="Check Box 138" hidden="1">
              <a:extLst>
                <a:ext uri="{63B3BB69-23CF-44E3-9099-C40C66FF867C}">
                  <a14:compatExt spid="_x0000_s49290"/>
                </a:ext>
                <a:ext uri="{FF2B5EF4-FFF2-40B4-BE49-F238E27FC236}">
                  <a16:creationId xmlns:a16="http://schemas.microsoft.com/office/drawing/2014/main" id="{00000000-0008-0000-0700-00008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32</xdr:row>
          <xdr:rowOff>0</xdr:rowOff>
        </xdr:from>
        <xdr:to>
          <xdr:col>1</xdr:col>
          <xdr:colOff>95250</xdr:colOff>
          <xdr:row>33</xdr:row>
          <xdr:rowOff>0</xdr:rowOff>
        </xdr:to>
        <xdr:sp macro="" textlink="">
          <xdr:nvSpPr>
            <xdr:cNvPr id="49291" name="Check Box 139" hidden="1">
              <a:extLst>
                <a:ext uri="{63B3BB69-23CF-44E3-9099-C40C66FF867C}">
                  <a14:compatExt spid="_x0000_s49291"/>
                </a:ext>
                <a:ext uri="{FF2B5EF4-FFF2-40B4-BE49-F238E27FC236}">
                  <a16:creationId xmlns:a16="http://schemas.microsoft.com/office/drawing/2014/main" id="{00000000-0008-0000-0700-00008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31</xdr:row>
          <xdr:rowOff>0</xdr:rowOff>
        </xdr:from>
        <xdr:to>
          <xdr:col>1</xdr:col>
          <xdr:colOff>95250</xdr:colOff>
          <xdr:row>32</xdr:row>
          <xdr:rowOff>0</xdr:rowOff>
        </xdr:to>
        <xdr:sp macro="" textlink="">
          <xdr:nvSpPr>
            <xdr:cNvPr id="49292" name="Check Box 140" hidden="1">
              <a:extLst>
                <a:ext uri="{63B3BB69-23CF-44E3-9099-C40C66FF867C}">
                  <a14:compatExt spid="_x0000_s49292"/>
                </a:ext>
                <a:ext uri="{FF2B5EF4-FFF2-40B4-BE49-F238E27FC236}">
                  <a16:creationId xmlns:a16="http://schemas.microsoft.com/office/drawing/2014/main" id="{00000000-0008-0000-0700-00008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30</xdr:row>
          <xdr:rowOff>0</xdr:rowOff>
        </xdr:from>
        <xdr:to>
          <xdr:col>1</xdr:col>
          <xdr:colOff>95250</xdr:colOff>
          <xdr:row>31</xdr:row>
          <xdr:rowOff>0</xdr:rowOff>
        </xdr:to>
        <xdr:sp macro="" textlink="">
          <xdr:nvSpPr>
            <xdr:cNvPr id="49293" name="Check Box 141" hidden="1">
              <a:extLst>
                <a:ext uri="{63B3BB69-23CF-44E3-9099-C40C66FF867C}">
                  <a14:compatExt spid="_x0000_s49293"/>
                </a:ext>
                <a:ext uri="{FF2B5EF4-FFF2-40B4-BE49-F238E27FC236}">
                  <a16:creationId xmlns:a16="http://schemas.microsoft.com/office/drawing/2014/main" id="{00000000-0008-0000-0700-00008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29</xdr:row>
          <xdr:rowOff>0</xdr:rowOff>
        </xdr:from>
        <xdr:to>
          <xdr:col>1</xdr:col>
          <xdr:colOff>95250</xdr:colOff>
          <xdr:row>30</xdr:row>
          <xdr:rowOff>0</xdr:rowOff>
        </xdr:to>
        <xdr:sp macro="" textlink="">
          <xdr:nvSpPr>
            <xdr:cNvPr id="49294" name="Check Box 142" hidden="1">
              <a:extLst>
                <a:ext uri="{63B3BB69-23CF-44E3-9099-C40C66FF867C}">
                  <a14:compatExt spid="_x0000_s49294"/>
                </a:ext>
                <a:ext uri="{FF2B5EF4-FFF2-40B4-BE49-F238E27FC236}">
                  <a16:creationId xmlns:a16="http://schemas.microsoft.com/office/drawing/2014/main" id="{00000000-0008-0000-0700-00008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0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49295" name="Check Box 143" hidden="1">
              <a:extLst>
                <a:ext uri="{63B3BB69-23CF-44E3-9099-C40C66FF867C}">
                  <a14:compatExt spid="_x0000_s49295"/>
                </a:ext>
                <a:ext uri="{FF2B5EF4-FFF2-40B4-BE49-F238E27FC236}">
                  <a16:creationId xmlns:a16="http://schemas.microsoft.com/office/drawing/2014/main" id="{00000000-0008-0000-0700-00008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49296" name="Check Box 144" hidden="1">
              <a:extLst>
                <a:ext uri="{63B3BB69-23CF-44E3-9099-C40C66FF867C}">
                  <a14:compatExt spid="_x0000_s49296"/>
                </a:ext>
                <a:ext uri="{FF2B5EF4-FFF2-40B4-BE49-F238E27FC236}">
                  <a16:creationId xmlns:a16="http://schemas.microsoft.com/office/drawing/2014/main" id="{00000000-0008-0000-0700-00009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49297" name="Check Box 145" hidden="1">
              <a:extLst>
                <a:ext uri="{63B3BB69-23CF-44E3-9099-C40C66FF867C}">
                  <a14:compatExt spid="_x0000_s49297"/>
                </a:ext>
                <a:ext uri="{FF2B5EF4-FFF2-40B4-BE49-F238E27FC236}">
                  <a16:creationId xmlns:a16="http://schemas.microsoft.com/office/drawing/2014/main" id="{00000000-0008-0000-0700-00009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49298" name="Check Box 146" hidden="1">
              <a:extLst>
                <a:ext uri="{63B3BB69-23CF-44E3-9099-C40C66FF867C}">
                  <a14:compatExt spid="_x0000_s49298"/>
                </a:ext>
                <a:ext uri="{FF2B5EF4-FFF2-40B4-BE49-F238E27FC236}">
                  <a16:creationId xmlns:a16="http://schemas.microsoft.com/office/drawing/2014/main" id="{00000000-0008-0000-0700-00009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0</xdr:rowOff>
        </xdr:from>
        <xdr:to>
          <xdr:col>13</xdr:col>
          <xdr:colOff>0</xdr:colOff>
          <xdr:row>34</xdr:row>
          <xdr:rowOff>0</xdr:rowOff>
        </xdr:to>
        <xdr:sp macro="" textlink="">
          <xdr:nvSpPr>
            <xdr:cNvPr id="49299" name="Check Box 147" hidden="1">
              <a:extLst>
                <a:ext uri="{63B3BB69-23CF-44E3-9099-C40C66FF867C}">
                  <a14:compatExt spid="_x0000_s49299"/>
                </a:ext>
                <a:ext uri="{FF2B5EF4-FFF2-40B4-BE49-F238E27FC236}">
                  <a16:creationId xmlns:a16="http://schemas.microsoft.com/office/drawing/2014/main" id="{00000000-0008-0000-0700-00009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0</xdr:rowOff>
        </xdr:from>
        <xdr:to>
          <xdr:col>13</xdr:col>
          <xdr:colOff>0</xdr:colOff>
          <xdr:row>35</xdr:row>
          <xdr:rowOff>0</xdr:rowOff>
        </xdr:to>
        <xdr:sp macro="" textlink="">
          <xdr:nvSpPr>
            <xdr:cNvPr id="49300" name="Check Box 148" hidden="1">
              <a:extLst>
                <a:ext uri="{63B3BB69-23CF-44E3-9099-C40C66FF867C}">
                  <a14:compatExt spid="_x0000_s49300"/>
                </a:ext>
                <a:ext uri="{FF2B5EF4-FFF2-40B4-BE49-F238E27FC236}">
                  <a16:creationId xmlns:a16="http://schemas.microsoft.com/office/drawing/2014/main" id="{00000000-0008-0000-0700-00009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0</xdr:rowOff>
        </xdr:from>
        <xdr:to>
          <xdr:col>13</xdr:col>
          <xdr:colOff>0</xdr:colOff>
          <xdr:row>36</xdr:row>
          <xdr:rowOff>0</xdr:rowOff>
        </xdr:to>
        <xdr:sp macro="" textlink="">
          <xdr:nvSpPr>
            <xdr:cNvPr id="49301" name="Check Box 149" hidden="1">
              <a:extLst>
                <a:ext uri="{63B3BB69-23CF-44E3-9099-C40C66FF867C}">
                  <a14:compatExt spid="_x0000_s49301"/>
                </a:ext>
                <a:ext uri="{FF2B5EF4-FFF2-40B4-BE49-F238E27FC236}">
                  <a16:creationId xmlns:a16="http://schemas.microsoft.com/office/drawing/2014/main" id="{00000000-0008-0000-0700-00009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49302" name="Check Box 150" hidden="1">
              <a:extLst>
                <a:ext uri="{63B3BB69-23CF-44E3-9099-C40C66FF867C}">
                  <a14:compatExt spid="_x0000_s49302"/>
                </a:ext>
                <a:ext uri="{FF2B5EF4-FFF2-40B4-BE49-F238E27FC236}">
                  <a16:creationId xmlns:a16="http://schemas.microsoft.com/office/drawing/2014/main" id="{00000000-0008-0000-0700-00009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49303" name="Check Box 151" hidden="1">
              <a:extLst>
                <a:ext uri="{63B3BB69-23CF-44E3-9099-C40C66FF867C}">
                  <a14:compatExt spid="_x0000_s49303"/>
                </a:ext>
                <a:ext uri="{FF2B5EF4-FFF2-40B4-BE49-F238E27FC236}">
                  <a16:creationId xmlns:a16="http://schemas.microsoft.com/office/drawing/2014/main" id="{00000000-0008-0000-0700-00009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49304" name="Check Box 152" hidden="1">
              <a:extLst>
                <a:ext uri="{63B3BB69-23CF-44E3-9099-C40C66FF867C}">
                  <a14:compatExt spid="_x0000_s49304"/>
                </a:ext>
                <a:ext uri="{FF2B5EF4-FFF2-40B4-BE49-F238E27FC236}">
                  <a16:creationId xmlns:a16="http://schemas.microsoft.com/office/drawing/2014/main" id="{00000000-0008-0000-0700-00009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49305" name="Check Box 153" hidden="1">
              <a:extLst>
                <a:ext uri="{63B3BB69-23CF-44E3-9099-C40C66FF867C}">
                  <a14:compatExt spid="_x0000_s49305"/>
                </a:ext>
                <a:ext uri="{FF2B5EF4-FFF2-40B4-BE49-F238E27FC236}">
                  <a16:creationId xmlns:a16="http://schemas.microsoft.com/office/drawing/2014/main" id="{00000000-0008-0000-0700-00009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49306" name="Check Box 154" hidden="1">
              <a:extLst>
                <a:ext uri="{63B3BB69-23CF-44E3-9099-C40C66FF867C}">
                  <a14:compatExt spid="_x0000_s49306"/>
                </a:ext>
                <a:ext uri="{FF2B5EF4-FFF2-40B4-BE49-F238E27FC236}">
                  <a16:creationId xmlns:a16="http://schemas.microsoft.com/office/drawing/2014/main" id="{00000000-0008-0000-0700-00009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49307" name="Check Box 155" hidden="1">
              <a:extLst>
                <a:ext uri="{63B3BB69-23CF-44E3-9099-C40C66FF867C}">
                  <a14:compatExt spid="_x0000_s49307"/>
                </a:ext>
                <a:ext uri="{FF2B5EF4-FFF2-40B4-BE49-F238E27FC236}">
                  <a16:creationId xmlns:a16="http://schemas.microsoft.com/office/drawing/2014/main" id="{00000000-0008-0000-0700-00009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49308" name="Check Box 156" hidden="1">
              <a:extLst>
                <a:ext uri="{63B3BB69-23CF-44E3-9099-C40C66FF867C}">
                  <a14:compatExt spid="_x0000_s49308"/>
                </a:ext>
                <a:ext uri="{FF2B5EF4-FFF2-40B4-BE49-F238E27FC236}">
                  <a16:creationId xmlns:a16="http://schemas.microsoft.com/office/drawing/2014/main" id="{00000000-0008-0000-0700-00009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49309" name="Check Box 157" hidden="1">
              <a:extLst>
                <a:ext uri="{63B3BB69-23CF-44E3-9099-C40C66FF867C}">
                  <a14:compatExt spid="_x0000_s49309"/>
                </a:ext>
                <a:ext uri="{FF2B5EF4-FFF2-40B4-BE49-F238E27FC236}">
                  <a16:creationId xmlns:a16="http://schemas.microsoft.com/office/drawing/2014/main" id="{00000000-0008-0000-0700-00009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15</xdr:row>
          <xdr:rowOff>0</xdr:rowOff>
        </xdr:from>
        <xdr:to>
          <xdr:col>1</xdr:col>
          <xdr:colOff>95250</xdr:colOff>
          <xdr:row>16</xdr:row>
          <xdr:rowOff>0</xdr:rowOff>
        </xdr:to>
        <xdr:sp macro="" textlink="">
          <xdr:nvSpPr>
            <xdr:cNvPr id="49310" name="Check Box 158" hidden="1">
              <a:extLst>
                <a:ext uri="{63B3BB69-23CF-44E3-9099-C40C66FF867C}">
                  <a14:compatExt spid="_x0000_s49310"/>
                </a:ext>
                <a:ext uri="{FF2B5EF4-FFF2-40B4-BE49-F238E27FC236}">
                  <a16:creationId xmlns:a16="http://schemas.microsoft.com/office/drawing/2014/main" id="{00000000-0008-0000-0700-00009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16</xdr:row>
          <xdr:rowOff>0</xdr:rowOff>
        </xdr:from>
        <xdr:to>
          <xdr:col>1</xdr:col>
          <xdr:colOff>95250</xdr:colOff>
          <xdr:row>17</xdr:row>
          <xdr:rowOff>0</xdr:rowOff>
        </xdr:to>
        <xdr:sp macro="" textlink="">
          <xdr:nvSpPr>
            <xdr:cNvPr id="49311" name="Check Box 159" hidden="1">
              <a:extLst>
                <a:ext uri="{63B3BB69-23CF-44E3-9099-C40C66FF867C}">
                  <a14:compatExt spid="_x0000_s49311"/>
                </a:ext>
                <a:ext uri="{FF2B5EF4-FFF2-40B4-BE49-F238E27FC236}">
                  <a16:creationId xmlns:a16="http://schemas.microsoft.com/office/drawing/2014/main" id="{00000000-0008-0000-0700-00009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0</xdr:rowOff>
        </xdr:from>
        <xdr:to>
          <xdr:col>2</xdr:col>
          <xdr:colOff>381000</xdr:colOff>
          <xdr:row>19</xdr:row>
          <xdr:rowOff>0</xdr:rowOff>
        </xdr:to>
        <xdr:sp macro="" textlink="">
          <xdr:nvSpPr>
            <xdr:cNvPr id="49312" name="Check Box 160" hidden="1">
              <a:extLst>
                <a:ext uri="{63B3BB69-23CF-44E3-9099-C40C66FF867C}">
                  <a14:compatExt spid="_x0000_s49312"/>
                </a:ext>
                <a:ext uri="{FF2B5EF4-FFF2-40B4-BE49-F238E27FC236}">
                  <a16:creationId xmlns:a16="http://schemas.microsoft.com/office/drawing/2014/main" id="{00000000-0008-0000-0700-0000A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0</xdr:rowOff>
        </xdr:from>
        <xdr:to>
          <xdr:col>2</xdr:col>
          <xdr:colOff>381000</xdr:colOff>
          <xdr:row>20</xdr:row>
          <xdr:rowOff>0</xdr:rowOff>
        </xdr:to>
        <xdr:sp macro="" textlink="">
          <xdr:nvSpPr>
            <xdr:cNvPr id="49313" name="Check Box 161" hidden="1">
              <a:extLst>
                <a:ext uri="{63B3BB69-23CF-44E3-9099-C40C66FF867C}">
                  <a14:compatExt spid="_x0000_s49313"/>
                </a:ext>
                <a:ext uri="{FF2B5EF4-FFF2-40B4-BE49-F238E27FC236}">
                  <a16:creationId xmlns:a16="http://schemas.microsoft.com/office/drawing/2014/main" id="{00000000-0008-0000-0700-0000A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20</xdr:row>
          <xdr:rowOff>0</xdr:rowOff>
        </xdr:from>
        <xdr:to>
          <xdr:col>2</xdr:col>
          <xdr:colOff>381000</xdr:colOff>
          <xdr:row>21</xdr:row>
          <xdr:rowOff>0</xdr:rowOff>
        </xdr:to>
        <xdr:sp macro="" textlink="">
          <xdr:nvSpPr>
            <xdr:cNvPr id="49314" name="Check Box 162" hidden="1">
              <a:extLst>
                <a:ext uri="{63B3BB69-23CF-44E3-9099-C40C66FF867C}">
                  <a14:compatExt spid="_x0000_s49314"/>
                </a:ext>
                <a:ext uri="{FF2B5EF4-FFF2-40B4-BE49-F238E27FC236}">
                  <a16:creationId xmlns:a16="http://schemas.microsoft.com/office/drawing/2014/main" id="{00000000-0008-0000-0700-0000A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0</xdr:rowOff>
        </xdr:from>
        <xdr:to>
          <xdr:col>2</xdr:col>
          <xdr:colOff>381000</xdr:colOff>
          <xdr:row>22</xdr:row>
          <xdr:rowOff>0</xdr:rowOff>
        </xdr:to>
        <xdr:sp macro="" textlink="">
          <xdr:nvSpPr>
            <xdr:cNvPr id="49315" name="Check Box 163" hidden="1">
              <a:extLst>
                <a:ext uri="{63B3BB69-23CF-44E3-9099-C40C66FF867C}">
                  <a14:compatExt spid="_x0000_s49315"/>
                </a:ext>
                <a:ext uri="{FF2B5EF4-FFF2-40B4-BE49-F238E27FC236}">
                  <a16:creationId xmlns:a16="http://schemas.microsoft.com/office/drawing/2014/main" id="{00000000-0008-0000-0700-0000A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0</xdr:rowOff>
        </xdr:from>
        <xdr:to>
          <xdr:col>2</xdr:col>
          <xdr:colOff>381000</xdr:colOff>
          <xdr:row>23</xdr:row>
          <xdr:rowOff>0</xdr:rowOff>
        </xdr:to>
        <xdr:sp macro="" textlink="">
          <xdr:nvSpPr>
            <xdr:cNvPr id="49316" name="Check Box 164" hidden="1">
              <a:extLst>
                <a:ext uri="{63B3BB69-23CF-44E3-9099-C40C66FF867C}">
                  <a14:compatExt spid="_x0000_s49316"/>
                </a:ext>
                <a:ext uri="{FF2B5EF4-FFF2-40B4-BE49-F238E27FC236}">
                  <a16:creationId xmlns:a16="http://schemas.microsoft.com/office/drawing/2014/main" id="{00000000-0008-0000-0700-0000A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0</xdr:rowOff>
        </xdr:from>
        <xdr:to>
          <xdr:col>2</xdr:col>
          <xdr:colOff>381000</xdr:colOff>
          <xdr:row>24</xdr:row>
          <xdr:rowOff>0</xdr:rowOff>
        </xdr:to>
        <xdr:sp macro="" textlink="">
          <xdr:nvSpPr>
            <xdr:cNvPr id="49317" name="Check Box 165" hidden="1">
              <a:extLst>
                <a:ext uri="{63B3BB69-23CF-44E3-9099-C40C66FF867C}">
                  <a14:compatExt spid="_x0000_s49317"/>
                </a:ext>
                <a:ext uri="{FF2B5EF4-FFF2-40B4-BE49-F238E27FC236}">
                  <a16:creationId xmlns:a16="http://schemas.microsoft.com/office/drawing/2014/main" id="{00000000-0008-0000-0700-0000A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0</xdr:rowOff>
        </xdr:from>
        <xdr:to>
          <xdr:col>14</xdr:col>
          <xdr:colOff>0</xdr:colOff>
          <xdr:row>25</xdr:row>
          <xdr:rowOff>0</xdr:rowOff>
        </xdr:to>
        <xdr:sp macro="" textlink="">
          <xdr:nvSpPr>
            <xdr:cNvPr id="49318" name="Check Box 166" hidden="1">
              <a:extLst>
                <a:ext uri="{63B3BB69-23CF-44E3-9099-C40C66FF867C}">
                  <a14:compatExt spid="_x0000_s49318"/>
                </a:ext>
                <a:ext uri="{FF2B5EF4-FFF2-40B4-BE49-F238E27FC236}">
                  <a16:creationId xmlns:a16="http://schemas.microsoft.com/office/drawing/2014/main" id="{00000000-0008-0000-0700-0000A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0</xdr:rowOff>
        </xdr:from>
        <xdr:to>
          <xdr:col>14</xdr:col>
          <xdr:colOff>0</xdr:colOff>
          <xdr:row>26</xdr:row>
          <xdr:rowOff>0</xdr:rowOff>
        </xdr:to>
        <xdr:sp macro="" textlink="">
          <xdr:nvSpPr>
            <xdr:cNvPr id="49319" name="Check Box 167" hidden="1">
              <a:extLst>
                <a:ext uri="{63B3BB69-23CF-44E3-9099-C40C66FF867C}">
                  <a14:compatExt spid="_x0000_s49319"/>
                </a:ext>
                <a:ext uri="{FF2B5EF4-FFF2-40B4-BE49-F238E27FC236}">
                  <a16:creationId xmlns:a16="http://schemas.microsoft.com/office/drawing/2014/main" id="{00000000-0008-0000-0700-0000A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254000</xdr:colOff>
      <xdr:row>6</xdr:row>
      <xdr:rowOff>180975</xdr:rowOff>
    </xdr:from>
    <xdr:to>
      <xdr:col>17</xdr:col>
      <xdr:colOff>6350</xdr:colOff>
      <xdr:row>12</xdr:row>
      <xdr:rowOff>63104</xdr:rowOff>
    </xdr:to>
    <xdr:pic>
      <xdr:nvPicPr>
        <xdr:cNvPr id="49323" name="Line 21">
          <a:extLst>
            <a:ext uri="{FF2B5EF4-FFF2-40B4-BE49-F238E27FC236}">
              <a16:creationId xmlns:a16="http://schemas.microsoft.com/office/drawing/2014/main" id="{00000000-0008-0000-0700-0000ABC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57325"/>
          <a:ext cx="19050" cy="1196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</xdr:row>
          <xdr:rowOff>0</xdr:rowOff>
        </xdr:from>
        <xdr:to>
          <xdr:col>27</xdr:col>
          <xdr:colOff>19050</xdr:colOff>
          <xdr:row>3</xdr:row>
          <xdr:rowOff>76200</xdr:rowOff>
        </xdr:to>
        <xdr:sp macro="" textlink="">
          <xdr:nvSpPr>
            <xdr:cNvPr id="49322" name="ResetButton" hidden="1">
              <a:extLst>
                <a:ext uri="{63B3BB69-23CF-44E3-9099-C40C66FF867C}">
                  <a14:compatExt spid="_x0000_s49322"/>
                </a:ext>
                <a:ext uri="{FF2B5EF4-FFF2-40B4-BE49-F238E27FC236}">
                  <a16:creationId xmlns:a16="http://schemas.microsoft.com/office/drawing/2014/main" id="{00000000-0008-0000-0700-0000A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115167</xdr:colOff>
      <xdr:row>43</xdr:row>
      <xdr:rowOff>124986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1167" cy="8316486"/>
        </a:xfrm>
        <a:prstGeom prst="rect">
          <a:avLst/>
        </a:prstGeom>
      </xdr:spPr>
    </xdr:pic>
    <xdr:clientData/>
  </xdr:twoCellAnchor>
  <xdr:twoCellAnchor editAs="oneCell">
    <xdr:from>
      <xdr:col>8</xdr:col>
      <xdr:colOff>761999</xdr:colOff>
      <xdr:row>0</xdr:row>
      <xdr:rowOff>0</xdr:rowOff>
    </xdr:from>
    <xdr:to>
      <xdr:col>19</xdr:col>
      <xdr:colOff>737616</xdr:colOff>
      <xdr:row>42</xdr:row>
      <xdr:rowOff>180974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7999" y="0"/>
          <a:ext cx="8357617" cy="81819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293687</xdr:colOff>
      <xdr:row>0</xdr:row>
      <xdr:rowOff>3970</xdr:rowOff>
    </xdr:from>
    <xdr:to>
      <xdr:col>20</xdr:col>
      <xdr:colOff>292595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328" y="3970"/>
          <a:ext cx="2511127" cy="1025921"/>
        </a:xfrm>
        <a:prstGeom prst="rect">
          <a:avLst/>
        </a:prstGeom>
      </xdr:spPr>
    </xdr:pic>
    <xdr:clientData/>
  </xdr:twoCellAnchor>
  <xdr:twoCellAnchor>
    <xdr:from>
      <xdr:col>0</xdr:col>
      <xdr:colOff>373674</xdr:colOff>
      <xdr:row>54</xdr:row>
      <xdr:rowOff>20895</xdr:rowOff>
    </xdr:from>
    <xdr:to>
      <xdr:col>19</xdr:col>
      <xdr:colOff>710745</xdr:colOff>
      <xdr:row>54</xdr:row>
      <xdr:rowOff>20895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/>
        </xdr:cNvGrpSpPr>
      </xdr:nvGrpSpPr>
      <xdr:grpSpPr bwMode="auto">
        <a:xfrm>
          <a:off x="373674" y="10574595"/>
          <a:ext cx="6112396" cy="0"/>
          <a:chOff x="1078" y="369"/>
          <a:chExt cx="9902" cy="0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78" y="369"/>
            <a:ext cx="2475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3572" y="369"/>
            <a:ext cx="2458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049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8524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380999</xdr:colOff>
      <xdr:row>50</xdr:row>
      <xdr:rowOff>159729</xdr:rowOff>
    </xdr:from>
    <xdr:to>
      <xdr:col>6</xdr:col>
      <xdr:colOff>11906</xdr:colOff>
      <xdr:row>53</xdr:row>
      <xdr:rowOff>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380999" y="9951429"/>
          <a:ext cx="1828007" cy="411772"/>
          <a:chOff x="1080" y="-163"/>
          <a:chExt cx="1797" cy="566"/>
        </a:xfrm>
      </xdr:grpSpPr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Text Box 10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xdr:twoCellAnchor>
    <xdr:from>
      <xdr:col>2</xdr:col>
      <xdr:colOff>4763</xdr:colOff>
      <xdr:row>10</xdr:row>
      <xdr:rowOff>260152</xdr:rowOff>
    </xdr:from>
    <xdr:to>
      <xdr:col>14</xdr:col>
      <xdr:colOff>5953</xdr:colOff>
      <xdr:row>12</xdr:row>
      <xdr:rowOff>14884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/>
      </xdr:nvGrpSpPr>
      <xdr:grpSpPr>
        <a:xfrm>
          <a:off x="481013" y="2463602"/>
          <a:ext cx="4014390" cy="180182"/>
          <a:chOff x="385763" y="2427090"/>
          <a:chExt cx="4079080" cy="219075"/>
        </a:xfrm>
      </xdr:grpSpPr>
      <xdr:sp macro="" textlink="">
        <xdr:nvSpPr>
          <xdr:cNvPr id="14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15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16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17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xdr:twoCellAnchor editAs="oneCell">
    <xdr:from>
      <xdr:col>15</xdr:col>
      <xdr:colOff>0</xdr:colOff>
      <xdr:row>6</xdr:row>
      <xdr:rowOff>180975</xdr:rowOff>
    </xdr:from>
    <xdr:to>
      <xdr:col>15</xdr:col>
      <xdr:colOff>19050</xdr:colOff>
      <xdr:row>12</xdr:row>
      <xdr:rowOff>57151</xdr:rowOff>
    </xdr:to>
    <xdr:pic>
      <xdr:nvPicPr>
        <xdr:cNvPr id="54" name="Line 21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438275"/>
          <a:ext cx="190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13</xdr:row>
          <xdr:rowOff>228600</xdr:rowOff>
        </xdr:from>
        <xdr:to>
          <xdr:col>8</xdr:col>
          <xdr:colOff>9525</xdr:colOff>
          <xdr:row>15</xdr:row>
          <xdr:rowOff>0</xdr:rowOff>
        </xdr:to>
        <xdr:sp macro="" textlink="">
          <xdr:nvSpPr>
            <xdr:cNvPr id="57389" name="Option Button 45" hidden="1">
              <a:extLst>
                <a:ext uri="{63B3BB69-23CF-44E3-9099-C40C66FF867C}">
                  <a14:compatExt spid="_x0000_s57389"/>
                </a:ext>
                <a:ext uri="{FF2B5EF4-FFF2-40B4-BE49-F238E27FC236}">
                  <a16:creationId xmlns:a16="http://schemas.microsoft.com/office/drawing/2014/main" id="{00000000-0008-0000-0900-00002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228600</xdr:rowOff>
        </xdr:from>
        <xdr:to>
          <xdr:col>16</xdr:col>
          <xdr:colOff>361950</xdr:colOff>
          <xdr:row>15</xdr:row>
          <xdr:rowOff>9525</xdr:rowOff>
        </xdr:to>
        <xdr:sp macro="" textlink="">
          <xdr:nvSpPr>
            <xdr:cNvPr id="57390" name="Option Button 46" hidden="1">
              <a:extLst>
                <a:ext uri="{63B3BB69-23CF-44E3-9099-C40C66FF867C}">
                  <a14:compatExt spid="_x0000_s57390"/>
                </a:ext>
                <a:ext uri="{FF2B5EF4-FFF2-40B4-BE49-F238E27FC236}">
                  <a16:creationId xmlns:a16="http://schemas.microsoft.com/office/drawing/2014/main" id="{00000000-0008-0000-0900-00002E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12</xdr:row>
          <xdr:rowOff>76200</xdr:rowOff>
        </xdr:from>
        <xdr:to>
          <xdr:col>20</xdr:col>
          <xdr:colOff>9525</xdr:colOff>
          <xdr:row>16</xdr:row>
          <xdr:rowOff>9525</xdr:rowOff>
        </xdr:to>
        <xdr:sp macro="" textlink="">
          <xdr:nvSpPr>
            <xdr:cNvPr id="57391" name="Group Box 47" hidden="1">
              <a:extLst>
                <a:ext uri="{63B3BB69-23CF-44E3-9099-C40C66FF867C}">
                  <a14:compatExt spid="_x0000_s57391"/>
                </a:ext>
                <a:ext uri="{FF2B5EF4-FFF2-40B4-BE49-F238E27FC236}">
                  <a16:creationId xmlns:a16="http://schemas.microsoft.com/office/drawing/2014/main" id="{00000000-0008-0000-0900-00002F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25</xdr:row>
          <xdr:rowOff>9525</xdr:rowOff>
        </xdr:from>
        <xdr:to>
          <xdr:col>9</xdr:col>
          <xdr:colOff>19050</xdr:colOff>
          <xdr:row>25</xdr:row>
          <xdr:rowOff>180975</xdr:rowOff>
        </xdr:to>
        <xdr:sp macro="" textlink="">
          <xdr:nvSpPr>
            <xdr:cNvPr id="57392" name="Option Button 48" hidden="1">
              <a:extLst>
                <a:ext uri="{63B3BB69-23CF-44E3-9099-C40C66FF867C}">
                  <a14:compatExt spid="_x0000_s57392"/>
                </a:ext>
                <a:ext uri="{FF2B5EF4-FFF2-40B4-BE49-F238E27FC236}">
                  <a16:creationId xmlns:a16="http://schemas.microsoft.com/office/drawing/2014/main" id="{00000000-0008-0000-0900-00003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9525</xdr:rowOff>
        </xdr:from>
        <xdr:to>
          <xdr:col>10</xdr:col>
          <xdr:colOff>171450</xdr:colOff>
          <xdr:row>25</xdr:row>
          <xdr:rowOff>180975</xdr:rowOff>
        </xdr:to>
        <xdr:sp macro="" textlink="">
          <xdr:nvSpPr>
            <xdr:cNvPr id="57393" name="Option Button 49" hidden="1">
              <a:extLst>
                <a:ext uri="{63B3BB69-23CF-44E3-9099-C40C66FF867C}">
                  <a14:compatExt spid="_x0000_s57393"/>
                </a:ext>
                <a:ext uri="{FF2B5EF4-FFF2-40B4-BE49-F238E27FC236}">
                  <a16:creationId xmlns:a16="http://schemas.microsoft.com/office/drawing/2014/main" id="{00000000-0008-0000-0900-00003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26</xdr:row>
          <xdr:rowOff>9525</xdr:rowOff>
        </xdr:from>
        <xdr:to>
          <xdr:col>9</xdr:col>
          <xdr:colOff>19050</xdr:colOff>
          <xdr:row>26</xdr:row>
          <xdr:rowOff>180975</xdr:rowOff>
        </xdr:to>
        <xdr:sp macro="" textlink="">
          <xdr:nvSpPr>
            <xdr:cNvPr id="57394" name="Option Button 50" hidden="1">
              <a:extLst>
                <a:ext uri="{63B3BB69-23CF-44E3-9099-C40C66FF867C}">
                  <a14:compatExt spid="_x0000_s57394"/>
                </a:ext>
                <a:ext uri="{FF2B5EF4-FFF2-40B4-BE49-F238E27FC236}">
                  <a16:creationId xmlns:a16="http://schemas.microsoft.com/office/drawing/2014/main" id="{00000000-0008-0000-0900-00003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9525</xdr:rowOff>
        </xdr:from>
        <xdr:to>
          <xdr:col>10</xdr:col>
          <xdr:colOff>171450</xdr:colOff>
          <xdr:row>26</xdr:row>
          <xdr:rowOff>180975</xdr:rowOff>
        </xdr:to>
        <xdr:sp macro="" textlink="">
          <xdr:nvSpPr>
            <xdr:cNvPr id="57395" name="Option Button 51" hidden="1">
              <a:extLst>
                <a:ext uri="{63B3BB69-23CF-44E3-9099-C40C66FF867C}">
                  <a14:compatExt spid="_x0000_s57395"/>
                </a:ext>
                <a:ext uri="{FF2B5EF4-FFF2-40B4-BE49-F238E27FC236}">
                  <a16:creationId xmlns:a16="http://schemas.microsoft.com/office/drawing/2014/main" id="{00000000-0008-0000-0900-00003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27</xdr:row>
          <xdr:rowOff>9525</xdr:rowOff>
        </xdr:from>
        <xdr:to>
          <xdr:col>9</xdr:col>
          <xdr:colOff>19050</xdr:colOff>
          <xdr:row>27</xdr:row>
          <xdr:rowOff>180975</xdr:rowOff>
        </xdr:to>
        <xdr:sp macro="" textlink="">
          <xdr:nvSpPr>
            <xdr:cNvPr id="57396" name="Option Button 52" hidden="1">
              <a:extLst>
                <a:ext uri="{63B3BB69-23CF-44E3-9099-C40C66FF867C}">
                  <a14:compatExt spid="_x0000_s57396"/>
                </a:ext>
                <a:ext uri="{FF2B5EF4-FFF2-40B4-BE49-F238E27FC236}">
                  <a16:creationId xmlns:a16="http://schemas.microsoft.com/office/drawing/2014/main" id="{00000000-0008-0000-0900-00003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9525</xdr:rowOff>
        </xdr:from>
        <xdr:to>
          <xdr:col>10</xdr:col>
          <xdr:colOff>171450</xdr:colOff>
          <xdr:row>27</xdr:row>
          <xdr:rowOff>180975</xdr:rowOff>
        </xdr:to>
        <xdr:sp macro="" textlink="">
          <xdr:nvSpPr>
            <xdr:cNvPr id="57397" name="Option Button 53" hidden="1">
              <a:extLst>
                <a:ext uri="{63B3BB69-23CF-44E3-9099-C40C66FF867C}">
                  <a14:compatExt spid="_x0000_s57397"/>
                </a:ext>
                <a:ext uri="{FF2B5EF4-FFF2-40B4-BE49-F238E27FC236}">
                  <a16:creationId xmlns:a16="http://schemas.microsoft.com/office/drawing/2014/main" id="{00000000-0008-0000-0900-00003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24</xdr:row>
          <xdr:rowOff>180975</xdr:rowOff>
        </xdr:from>
        <xdr:to>
          <xdr:col>11</xdr:col>
          <xdr:colOff>38100</xdr:colOff>
          <xdr:row>25</xdr:row>
          <xdr:rowOff>180975</xdr:rowOff>
        </xdr:to>
        <xdr:sp macro="" textlink="">
          <xdr:nvSpPr>
            <xdr:cNvPr id="57398" name="Group Box 54" hidden="1">
              <a:extLst>
                <a:ext uri="{63B3BB69-23CF-44E3-9099-C40C66FF867C}">
                  <a14:compatExt spid="_x0000_s57398"/>
                </a:ext>
                <a:ext uri="{FF2B5EF4-FFF2-40B4-BE49-F238E27FC236}">
                  <a16:creationId xmlns:a16="http://schemas.microsoft.com/office/drawing/2014/main" id="{00000000-0008-0000-0900-00003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25</xdr:row>
          <xdr:rowOff>190500</xdr:rowOff>
        </xdr:from>
        <xdr:to>
          <xdr:col>11</xdr:col>
          <xdr:colOff>38100</xdr:colOff>
          <xdr:row>27</xdr:row>
          <xdr:rowOff>9525</xdr:rowOff>
        </xdr:to>
        <xdr:sp macro="" textlink="">
          <xdr:nvSpPr>
            <xdr:cNvPr id="57399" name="Group Box 55" hidden="1">
              <a:extLst>
                <a:ext uri="{63B3BB69-23CF-44E3-9099-C40C66FF867C}">
                  <a14:compatExt spid="_x0000_s57399"/>
                </a:ext>
                <a:ext uri="{FF2B5EF4-FFF2-40B4-BE49-F238E27FC236}">
                  <a16:creationId xmlns:a16="http://schemas.microsoft.com/office/drawing/2014/main" id="{00000000-0008-0000-0900-00003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27</xdr:row>
          <xdr:rowOff>9525</xdr:rowOff>
        </xdr:from>
        <xdr:to>
          <xdr:col>11</xdr:col>
          <xdr:colOff>38100</xdr:colOff>
          <xdr:row>28</xdr:row>
          <xdr:rowOff>19050</xdr:rowOff>
        </xdr:to>
        <xdr:sp macro="" textlink="">
          <xdr:nvSpPr>
            <xdr:cNvPr id="57400" name="Group Box 56" hidden="1">
              <a:extLst>
                <a:ext uri="{63B3BB69-23CF-44E3-9099-C40C66FF867C}">
                  <a14:compatExt spid="_x0000_s57400"/>
                </a:ext>
                <a:ext uri="{FF2B5EF4-FFF2-40B4-BE49-F238E27FC236}">
                  <a16:creationId xmlns:a16="http://schemas.microsoft.com/office/drawing/2014/main" id="{00000000-0008-0000-0900-00003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25</xdr:row>
          <xdr:rowOff>9525</xdr:rowOff>
        </xdr:from>
        <xdr:to>
          <xdr:col>18</xdr:col>
          <xdr:colOff>19050</xdr:colOff>
          <xdr:row>25</xdr:row>
          <xdr:rowOff>180975</xdr:rowOff>
        </xdr:to>
        <xdr:sp macro="" textlink="">
          <xdr:nvSpPr>
            <xdr:cNvPr id="57401" name="Option Button 57" hidden="1">
              <a:extLst>
                <a:ext uri="{63B3BB69-23CF-44E3-9099-C40C66FF867C}">
                  <a14:compatExt spid="_x0000_s57401"/>
                </a:ext>
                <a:ext uri="{FF2B5EF4-FFF2-40B4-BE49-F238E27FC236}">
                  <a16:creationId xmlns:a16="http://schemas.microsoft.com/office/drawing/2014/main" id="{00000000-0008-0000-0900-00003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9525</xdr:rowOff>
        </xdr:from>
        <xdr:to>
          <xdr:col>19</xdr:col>
          <xdr:colOff>171450</xdr:colOff>
          <xdr:row>25</xdr:row>
          <xdr:rowOff>180975</xdr:rowOff>
        </xdr:to>
        <xdr:sp macro="" textlink="">
          <xdr:nvSpPr>
            <xdr:cNvPr id="57402" name="Option Button 58" hidden="1">
              <a:extLst>
                <a:ext uri="{63B3BB69-23CF-44E3-9099-C40C66FF867C}">
                  <a14:compatExt spid="_x0000_s57402"/>
                </a:ext>
                <a:ext uri="{FF2B5EF4-FFF2-40B4-BE49-F238E27FC236}">
                  <a16:creationId xmlns:a16="http://schemas.microsoft.com/office/drawing/2014/main" id="{00000000-0008-0000-0900-00003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26</xdr:row>
          <xdr:rowOff>9525</xdr:rowOff>
        </xdr:from>
        <xdr:to>
          <xdr:col>18</xdr:col>
          <xdr:colOff>19050</xdr:colOff>
          <xdr:row>26</xdr:row>
          <xdr:rowOff>180975</xdr:rowOff>
        </xdr:to>
        <xdr:sp macro="" textlink="">
          <xdr:nvSpPr>
            <xdr:cNvPr id="57403" name="Option Button 59" hidden="1">
              <a:extLst>
                <a:ext uri="{63B3BB69-23CF-44E3-9099-C40C66FF867C}">
                  <a14:compatExt spid="_x0000_s57403"/>
                </a:ext>
                <a:ext uri="{FF2B5EF4-FFF2-40B4-BE49-F238E27FC236}">
                  <a16:creationId xmlns:a16="http://schemas.microsoft.com/office/drawing/2014/main" id="{00000000-0008-0000-0900-00003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26</xdr:row>
          <xdr:rowOff>9525</xdr:rowOff>
        </xdr:from>
        <xdr:to>
          <xdr:col>19</xdr:col>
          <xdr:colOff>171450</xdr:colOff>
          <xdr:row>26</xdr:row>
          <xdr:rowOff>180975</xdr:rowOff>
        </xdr:to>
        <xdr:sp macro="" textlink="">
          <xdr:nvSpPr>
            <xdr:cNvPr id="57404" name="Option Button 60" hidden="1">
              <a:extLst>
                <a:ext uri="{63B3BB69-23CF-44E3-9099-C40C66FF867C}">
                  <a14:compatExt spid="_x0000_s57404"/>
                </a:ext>
                <a:ext uri="{FF2B5EF4-FFF2-40B4-BE49-F238E27FC236}">
                  <a16:creationId xmlns:a16="http://schemas.microsoft.com/office/drawing/2014/main" id="{00000000-0008-0000-0900-00003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27</xdr:row>
          <xdr:rowOff>9525</xdr:rowOff>
        </xdr:from>
        <xdr:to>
          <xdr:col>18</xdr:col>
          <xdr:colOff>19050</xdr:colOff>
          <xdr:row>27</xdr:row>
          <xdr:rowOff>180975</xdr:rowOff>
        </xdr:to>
        <xdr:sp macro="" textlink="">
          <xdr:nvSpPr>
            <xdr:cNvPr id="57405" name="Option Button 61" hidden="1">
              <a:extLst>
                <a:ext uri="{63B3BB69-23CF-44E3-9099-C40C66FF867C}">
                  <a14:compatExt spid="_x0000_s57405"/>
                </a:ext>
                <a:ext uri="{FF2B5EF4-FFF2-40B4-BE49-F238E27FC236}">
                  <a16:creationId xmlns:a16="http://schemas.microsoft.com/office/drawing/2014/main" id="{00000000-0008-0000-0900-00003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9525</xdr:rowOff>
        </xdr:from>
        <xdr:to>
          <xdr:col>19</xdr:col>
          <xdr:colOff>171450</xdr:colOff>
          <xdr:row>27</xdr:row>
          <xdr:rowOff>180975</xdr:rowOff>
        </xdr:to>
        <xdr:sp macro="" textlink="">
          <xdr:nvSpPr>
            <xdr:cNvPr id="57406" name="Option Button 62" hidden="1">
              <a:extLst>
                <a:ext uri="{63B3BB69-23CF-44E3-9099-C40C66FF867C}">
                  <a14:compatExt spid="_x0000_s57406"/>
                </a:ext>
                <a:ext uri="{FF2B5EF4-FFF2-40B4-BE49-F238E27FC236}">
                  <a16:creationId xmlns:a16="http://schemas.microsoft.com/office/drawing/2014/main" id="{00000000-0008-0000-0900-00003E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24</xdr:row>
          <xdr:rowOff>180975</xdr:rowOff>
        </xdr:from>
        <xdr:to>
          <xdr:col>20</xdr:col>
          <xdr:colOff>38100</xdr:colOff>
          <xdr:row>25</xdr:row>
          <xdr:rowOff>180975</xdr:rowOff>
        </xdr:to>
        <xdr:sp macro="" textlink="">
          <xdr:nvSpPr>
            <xdr:cNvPr id="57407" name="Group Box 63" hidden="1">
              <a:extLst>
                <a:ext uri="{63B3BB69-23CF-44E3-9099-C40C66FF867C}">
                  <a14:compatExt spid="_x0000_s57407"/>
                </a:ext>
                <a:ext uri="{FF2B5EF4-FFF2-40B4-BE49-F238E27FC236}">
                  <a16:creationId xmlns:a16="http://schemas.microsoft.com/office/drawing/2014/main" id="{00000000-0008-0000-0900-00003F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26</xdr:row>
          <xdr:rowOff>0</xdr:rowOff>
        </xdr:from>
        <xdr:to>
          <xdr:col>20</xdr:col>
          <xdr:colOff>38100</xdr:colOff>
          <xdr:row>27</xdr:row>
          <xdr:rowOff>9525</xdr:rowOff>
        </xdr:to>
        <xdr:sp macro="" textlink="">
          <xdr:nvSpPr>
            <xdr:cNvPr id="57408" name="Group Box 64" hidden="1">
              <a:extLst>
                <a:ext uri="{63B3BB69-23CF-44E3-9099-C40C66FF867C}">
                  <a14:compatExt spid="_x0000_s57408"/>
                </a:ext>
                <a:ext uri="{FF2B5EF4-FFF2-40B4-BE49-F238E27FC236}">
                  <a16:creationId xmlns:a16="http://schemas.microsoft.com/office/drawing/2014/main" id="{00000000-0008-0000-0900-00004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27</xdr:row>
          <xdr:rowOff>9525</xdr:rowOff>
        </xdr:from>
        <xdr:to>
          <xdr:col>20</xdr:col>
          <xdr:colOff>38100</xdr:colOff>
          <xdr:row>28</xdr:row>
          <xdr:rowOff>19050</xdr:rowOff>
        </xdr:to>
        <xdr:sp macro="" textlink="">
          <xdr:nvSpPr>
            <xdr:cNvPr id="57409" name="Group Box 65" hidden="1">
              <a:extLst>
                <a:ext uri="{63B3BB69-23CF-44E3-9099-C40C66FF867C}">
                  <a14:compatExt spid="_x0000_s57409"/>
                </a:ext>
                <a:ext uri="{FF2B5EF4-FFF2-40B4-BE49-F238E27FC236}">
                  <a16:creationId xmlns:a16="http://schemas.microsoft.com/office/drawing/2014/main" id="{00000000-0008-0000-0900-00004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31</xdr:row>
          <xdr:rowOff>190500</xdr:rowOff>
        </xdr:from>
        <xdr:to>
          <xdr:col>18</xdr:col>
          <xdr:colOff>19050</xdr:colOff>
          <xdr:row>32</xdr:row>
          <xdr:rowOff>171450</xdr:rowOff>
        </xdr:to>
        <xdr:sp macro="" textlink="">
          <xdr:nvSpPr>
            <xdr:cNvPr id="57410" name="Option Button 66" hidden="1">
              <a:extLst>
                <a:ext uri="{63B3BB69-23CF-44E3-9099-C40C66FF867C}">
                  <a14:compatExt spid="_x0000_s57410"/>
                </a:ext>
                <a:ext uri="{FF2B5EF4-FFF2-40B4-BE49-F238E27FC236}">
                  <a16:creationId xmlns:a16="http://schemas.microsoft.com/office/drawing/2014/main" id="{00000000-0008-0000-0900-00004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31</xdr:row>
          <xdr:rowOff>190500</xdr:rowOff>
        </xdr:from>
        <xdr:to>
          <xdr:col>19</xdr:col>
          <xdr:colOff>171450</xdr:colOff>
          <xdr:row>32</xdr:row>
          <xdr:rowOff>171450</xdr:rowOff>
        </xdr:to>
        <xdr:sp macro="" textlink="">
          <xdr:nvSpPr>
            <xdr:cNvPr id="57411" name="Option Button 67" hidden="1">
              <a:extLst>
                <a:ext uri="{63B3BB69-23CF-44E3-9099-C40C66FF867C}">
                  <a14:compatExt spid="_x0000_s57411"/>
                </a:ext>
                <a:ext uri="{FF2B5EF4-FFF2-40B4-BE49-F238E27FC236}">
                  <a16:creationId xmlns:a16="http://schemas.microsoft.com/office/drawing/2014/main" id="{00000000-0008-0000-0900-00004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32</xdr:row>
          <xdr:rowOff>190500</xdr:rowOff>
        </xdr:from>
        <xdr:to>
          <xdr:col>18</xdr:col>
          <xdr:colOff>19050</xdr:colOff>
          <xdr:row>33</xdr:row>
          <xdr:rowOff>171450</xdr:rowOff>
        </xdr:to>
        <xdr:sp macro="" textlink="">
          <xdr:nvSpPr>
            <xdr:cNvPr id="57412" name="Option Button 68" hidden="1">
              <a:extLst>
                <a:ext uri="{63B3BB69-23CF-44E3-9099-C40C66FF867C}">
                  <a14:compatExt spid="_x0000_s57412"/>
                </a:ext>
                <a:ext uri="{FF2B5EF4-FFF2-40B4-BE49-F238E27FC236}">
                  <a16:creationId xmlns:a16="http://schemas.microsoft.com/office/drawing/2014/main" id="{00000000-0008-0000-0900-00004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190500</xdr:rowOff>
        </xdr:from>
        <xdr:to>
          <xdr:col>19</xdr:col>
          <xdr:colOff>171450</xdr:colOff>
          <xdr:row>33</xdr:row>
          <xdr:rowOff>171450</xdr:rowOff>
        </xdr:to>
        <xdr:sp macro="" textlink="">
          <xdr:nvSpPr>
            <xdr:cNvPr id="57413" name="Option Button 69" hidden="1">
              <a:extLst>
                <a:ext uri="{63B3BB69-23CF-44E3-9099-C40C66FF867C}">
                  <a14:compatExt spid="_x0000_s57413"/>
                </a:ext>
                <a:ext uri="{FF2B5EF4-FFF2-40B4-BE49-F238E27FC236}">
                  <a16:creationId xmlns:a16="http://schemas.microsoft.com/office/drawing/2014/main" id="{00000000-0008-0000-0900-00004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31</xdr:row>
          <xdr:rowOff>180975</xdr:rowOff>
        </xdr:from>
        <xdr:to>
          <xdr:col>20</xdr:col>
          <xdr:colOff>38100</xdr:colOff>
          <xdr:row>33</xdr:row>
          <xdr:rowOff>0</xdr:rowOff>
        </xdr:to>
        <xdr:sp macro="" textlink="">
          <xdr:nvSpPr>
            <xdr:cNvPr id="57414" name="Group Box 70" hidden="1">
              <a:extLst>
                <a:ext uri="{63B3BB69-23CF-44E3-9099-C40C66FF867C}">
                  <a14:compatExt spid="_x0000_s57414"/>
                </a:ext>
                <a:ext uri="{FF2B5EF4-FFF2-40B4-BE49-F238E27FC236}">
                  <a16:creationId xmlns:a16="http://schemas.microsoft.com/office/drawing/2014/main" id="{00000000-0008-0000-0900-00004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32</xdr:row>
          <xdr:rowOff>190500</xdr:rowOff>
        </xdr:from>
        <xdr:to>
          <xdr:col>20</xdr:col>
          <xdr:colOff>38100</xdr:colOff>
          <xdr:row>34</xdr:row>
          <xdr:rowOff>9525</xdr:rowOff>
        </xdr:to>
        <xdr:sp macro="" textlink="">
          <xdr:nvSpPr>
            <xdr:cNvPr id="57415" name="Group Box 71" hidden="1">
              <a:extLst>
                <a:ext uri="{63B3BB69-23CF-44E3-9099-C40C66FF867C}">
                  <a14:compatExt spid="_x0000_s57415"/>
                </a:ext>
                <a:ext uri="{FF2B5EF4-FFF2-40B4-BE49-F238E27FC236}">
                  <a16:creationId xmlns:a16="http://schemas.microsoft.com/office/drawing/2014/main" id="{00000000-0008-0000-0900-00004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32</xdr:row>
          <xdr:rowOff>9525</xdr:rowOff>
        </xdr:from>
        <xdr:to>
          <xdr:col>9</xdr:col>
          <xdr:colOff>19050</xdr:colOff>
          <xdr:row>32</xdr:row>
          <xdr:rowOff>180975</xdr:rowOff>
        </xdr:to>
        <xdr:sp macro="" textlink="">
          <xdr:nvSpPr>
            <xdr:cNvPr id="57416" name="Option Button 72" hidden="1">
              <a:extLst>
                <a:ext uri="{63B3BB69-23CF-44E3-9099-C40C66FF867C}">
                  <a14:compatExt spid="_x0000_s57416"/>
                </a:ext>
                <a:ext uri="{FF2B5EF4-FFF2-40B4-BE49-F238E27FC236}">
                  <a16:creationId xmlns:a16="http://schemas.microsoft.com/office/drawing/2014/main" id="{00000000-0008-0000-0900-00004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32</xdr:row>
          <xdr:rowOff>9525</xdr:rowOff>
        </xdr:from>
        <xdr:to>
          <xdr:col>10</xdr:col>
          <xdr:colOff>171450</xdr:colOff>
          <xdr:row>32</xdr:row>
          <xdr:rowOff>180975</xdr:rowOff>
        </xdr:to>
        <xdr:sp macro="" textlink="">
          <xdr:nvSpPr>
            <xdr:cNvPr id="57417" name="Option Button 73" hidden="1">
              <a:extLst>
                <a:ext uri="{63B3BB69-23CF-44E3-9099-C40C66FF867C}">
                  <a14:compatExt spid="_x0000_s57417"/>
                </a:ext>
                <a:ext uri="{FF2B5EF4-FFF2-40B4-BE49-F238E27FC236}">
                  <a16:creationId xmlns:a16="http://schemas.microsoft.com/office/drawing/2014/main" id="{00000000-0008-0000-0900-00004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33</xdr:row>
          <xdr:rowOff>9525</xdr:rowOff>
        </xdr:from>
        <xdr:to>
          <xdr:col>9</xdr:col>
          <xdr:colOff>19050</xdr:colOff>
          <xdr:row>33</xdr:row>
          <xdr:rowOff>180975</xdr:rowOff>
        </xdr:to>
        <xdr:sp macro="" textlink="">
          <xdr:nvSpPr>
            <xdr:cNvPr id="57418" name="Option Button 74" hidden="1">
              <a:extLst>
                <a:ext uri="{63B3BB69-23CF-44E3-9099-C40C66FF867C}">
                  <a14:compatExt spid="_x0000_s57418"/>
                </a:ext>
                <a:ext uri="{FF2B5EF4-FFF2-40B4-BE49-F238E27FC236}">
                  <a16:creationId xmlns:a16="http://schemas.microsoft.com/office/drawing/2014/main" id="{00000000-0008-0000-0900-00004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9525</xdr:rowOff>
        </xdr:from>
        <xdr:to>
          <xdr:col>10</xdr:col>
          <xdr:colOff>171450</xdr:colOff>
          <xdr:row>33</xdr:row>
          <xdr:rowOff>180975</xdr:rowOff>
        </xdr:to>
        <xdr:sp macro="" textlink="">
          <xdr:nvSpPr>
            <xdr:cNvPr id="57419" name="Option Button 75" hidden="1">
              <a:extLst>
                <a:ext uri="{63B3BB69-23CF-44E3-9099-C40C66FF867C}">
                  <a14:compatExt spid="_x0000_s57419"/>
                </a:ext>
                <a:ext uri="{FF2B5EF4-FFF2-40B4-BE49-F238E27FC236}">
                  <a16:creationId xmlns:a16="http://schemas.microsoft.com/office/drawing/2014/main" id="{00000000-0008-0000-0900-00004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31</xdr:row>
          <xdr:rowOff>190500</xdr:rowOff>
        </xdr:from>
        <xdr:to>
          <xdr:col>11</xdr:col>
          <xdr:colOff>38100</xdr:colOff>
          <xdr:row>33</xdr:row>
          <xdr:rowOff>9525</xdr:rowOff>
        </xdr:to>
        <xdr:sp macro="" textlink="">
          <xdr:nvSpPr>
            <xdr:cNvPr id="57420" name="Group Box 76" hidden="1">
              <a:extLst>
                <a:ext uri="{63B3BB69-23CF-44E3-9099-C40C66FF867C}">
                  <a14:compatExt spid="_x0000_s57420"/>
                </a:ext>
                <a:ext uri="{FF2B5EF4-FFF2-40B4-BE49-F238E27FC236}">
                  <a16:creationId xmlns:a16="http://schemas.microsoft.com/office/drawing/2014/main" id="{00000000-0008-0000-0900-00004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33</xdr:row>
          <xdr:rowOff>9525</xdr:rowOff>
        </xdr:from>
        <xdr:to>
          <xdr:col>11</xdr:col>
          <xdr:colOff>38100</xdr:colOff>
          <xdr:row>34</xdr:row>
          <xdr:rowOff>19050</xdr:rowOff>
        </xdr:to>
        <xdr:sp macro="" textlink="">
          <xdr:nvSpPr>
            <xdr:cNvPr id="57421" name="Group Box 77" hidden="1">
              <a:extLst>
                <a:ext uri="{63B3BB69-23CF-44E3-9099-C40C66FF867C}">
                  <a14:compatExt spid="_x0000_s57421"/>
                </a:ext>
                <a:ext uri="{FF2B5EF4-FFF2-40B4-BE49-F238E27FC236}">
                  <a16:creationId xmlns:a16="http://schemas.microsoft.com/office/drawing/2014/main" id="{00000000-0008-0000-0900-00004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38</xdr:row>
          <xdr:rowOff>0</xdr:rowOff>
        </xdr:from>
        <xdr:to>
          <xdr:col>18</xdr:col>
          <xdr:colOff>9525</xdr:colOff>
          <xdr:row>38</xdr:row>
          <xdr:rowOff>171450</xdr:rowOff>
        </xdr:to>
        <xdr:sp macro="" textlink="">
          <xdr:nvSpPr>
            <xdr:cNvPr id="57440" name="Option Button 96" hidden="1">
              <a:extLst>
                <a:ext uri="{63B3BB69-23CF-44E3-9099-C40C66FF867C}">
                  <a14:compatExt spid="_x0000_s57440"/>
                </a:ext>
                <a:ext uri="{FF2B5EF4-FFF2-40B4-BE49-F238E27FC236}">
                  <a16:creationId xmlns:a16="http://schemas.microsoft.com/office/drawing/2014/main" id="{00000000-0008-0000-0900-00006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38</xdr:row>
          <xdr:rowOff>0</xdr:rowOff>
        </xdr:from>
        <xdr:to>
          <xdr:col>19</xdr:col>
          <xdr:colOff>161925</xdr:colOff>
          <xdr:row>38</xdr:row>
          <xdr:rowOff>171450</xdr:rowOff>
        </xdr:to>
        <xdr:sp macro="" textlink="">
          <xdr:nvSpPr>
            <xdr:cNvPr id="57441" name="Option Button 97" hidden="1">
              <a:extLst>
                <a:ext uri="{63B3BB69-23CF-44E3-9099-C40C66FF867C}">
                  <a14:compatExt spid="_x0000_s57441"/>
                </a:ext>
                <a:ext uri="{FF2B5EF4-FFF2-40B4-BE49-F238E27FC236}">
                  <a16:creationId xmlns:a16="http://schemas.microsoft.com/office/drawing/2014/main" id="{00000000-0008-0000-0900-00006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39</xdr:row>
          <xdr:rowOff>0</xdr:rowOff>
        </xdr:from>
        <xdr:to>
          <xdr:col>18</xdr:col>
          <xdr:colOff>9525</xdr:colOff>
          <xdr:row>39</xdr:row>
          <xdr:rowOff>171450</xdr:rowOff>
        </xdr:to>
        <xdr:sp macro="" textlink="">
          <xdr:nvSpPr>
            <xdr:cNvPr id="57442" name="Option Button 98" hidden="1">
              <a:extLst>
                <a:ext uri="{63B3BB69-23CF-44E3-9099-C40C66FF867C}">
                  <a14:compatExt spid="_x0000_s57442"/>
                </a:ext>
                <a:ext uri="{FF2B5EF4-FFF2-40B4-BE49-F238E27FC236}">
                  <a16:creationId xmlns:a16="http://schemas.microsoft.com/office/drawing/2014/main" id="{00000000-0008-0000-0900-00006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39</xdr:row>
          <xdr:rowOff>0</xdr:rowOff>
        </xdr:from>
        <xdr:to>
          <xdr:col>19</xdr:col>
          <xdr:colOff>161925</xdr:colOff>
          <xdr:row>39</xdr:row>
          <xdr:rowOff>171450</xdr:rowOff>
        </xdr:to>
        <xdr:sp macro="" textlink="">
          <xdr:nvSpPr>
            <xdr:cNvPr id="57443" name="Option Button 99" hidden="1">
              <a:extLst>
                <a:ext uri="{63B3BB69-23CF-44E3-9099-C40C66FF867C}">
                  <a14:compatExt spid="_x0000_s57443"/>
                </a:ext>
                <a:ext uri="{FF2B5EF4-FFF2-40B4-BE49-F238E27FC236}">
                  <a16:creationId xmlns:a16="http://schemas.microsoft.com/office/drawing/2014/main" id="{00000000-0008-0000-0900-00006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37</xdr:row>
          <xdr:rowOff>180975</xdr:rowOff>
        </xdr:from>
        <xdr:to>
          <xdr:col>20</xdr:col>
          <xdr:colOff>28575</xdr:colOff>
          <xdr:row>39</xdr:row>
          <xdr:rowOff>0</xdr:rowOff>
        </xdr:to>
        <xdr:sp macro="" textlink="">
          <xdr:nvSpPr>
            <xdr:cNvPr id="57444" name="Group Box 100" hidden="1">
              <a:extLst>
                <a:ext uri="{63B3BB69-23CF-44E3-9099-C40C66FF867C}">
                  <a14:compatExt spid="_x0000_s57444"/>
                </a:ext>
                <a:ext uri="{FF2B5EF4-FFF2-40B4-BE49-F238E27FC236}">
                  <a16:creationId xmlns:a16="http://schemas.microsoft.com/office/drawing/2014/main" id="{00000000-0008-0000-0900-00006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39</xdr:row>
          <xdr:rowOff>0</xdr:rowOff>
        </xdr:from>
        <xdr:to>
          <xdr:col>20</xdr:col>
          <xdr:colOff>28575</xdr:colOff>
          <xdr:row>40</xdr:row>
          <xdr:rowOff>9525</xdr:rowOff>
        </xdr:to>
        <xdr:sp macro="" textlink="">
          <xdr:nvSpPr>
            <xdr:cNvPr id="57445" name="Group Box 101" hidden="1">
              <a:extLst>
                <a:ext uri="{63B3BB69-23CF-44E3-9099-C40C66FF867C}">
                  <a14:compatExt spid="_x0000_s57445"/>
                </a:ext>
                <a:ext uri="{FF2B5EF4-FFF2-40B4-BE49-F238E27FC236}">
                  <a16:creationId xmlns:a16="http://schemas.microsoft.com/office/drawing/2014/main" id="{00000000-0008-0000-0900-00006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40</xdr:row>
          <xdr:rowOff>0</xdr:rowOff>
        </xdr:from>
        <xdr:to>
          <xdr:col>18</xdr:col>
          <xdr:colOff>9525</xdr:colOff>
          <xdr:row>40</xdr:row>
          <xdr:rowOff>171450</xdr:rowOff>
        </xdr:to>
        <xdr:sp macro="" textlink="">
          <xdr:nvSpPr>
            <xdr:cNvPr id="57446" name="Option Button 102" hidden="1">
              <a:extLst>
                <a:ext uri="{63B3BB69-23CF-44E3-9099-C40C66FF867C}">
                  <a14:compatExt spid="_x0000_s57446"/>
                </a:ext>
                <a:ext uri="{FF2B5EF4-FFF2-40B4-BE49-F238E27FC236}">
                  <a16:creationId xmlns:a16="http://schemas.microsoft.com/office/drawing/2014/main" id="{00000000-0008-0000-0900-00006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0</xdr:rowOff>
        </xdr:from>
        <xdr:to>
          <xdr:col>19</xdr:col>
          <xdr:colOff>161925</xdr:colOff>
          <xdr:row>40</xdr:row>
          <xdr:rowOff>171450</xdr:rowOff>
        </xdr:to>
        <xdr:sp macro="" textlink="">
          <xdr:nvSpPr>
            <xdr:cNvPr id="57447" name="Option Button 103" hidden="1">
              <a:extLst>
                <a:ext uri="{63B3BB69-23CF-44E3-9099-C40C66FF867C}">
                  <a14:compatExt spid="_x0000_s57447"/>
                </a:ext>
                <a:ext uri="{FF2B5EF4-FFF2-40B4-BE49-F238E27FC236}">
                  <a16:creationId xmlns:a16="http://schemas.microsoft.com/office/drawing/2014/main" id="{00000000-0008-0000-0900-00006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41</xdr:row>
          <xdr:rowOff>0</xdr:rowOff>
        </xdr:from>
        <xdr:to>
          <xdr:col>18</xdr:col>
          <xdr:colOff>9525</xdr:colOff>
          <xdr:row>41</xdr:row>
          <xdr:rowOff>171450</xdr:rowOff>
        </xdr:to>
        <xdr:sp macro="" textlink="">
          <xdr:nvSpPr>
            <xdr:cNvPr id="57448" name="Option Button 104" hidden="1">
              <a:extLst>
                <a:ext uri="{63B3BB69-23CF-44E3-9099-C40C66FF867C}">
                  <a14:compatExt spid="_x0000_s57448"/>
                </a:ext>
                <a:ext uri="{FF2B5EF4-FFF2-40B4-BE49-F238E27FC236}">
                  <a16:creationId xmlns:a16="http://schemas.microsoft.com/office/drawing/2014/main" id="{00000000-0008-0000-0900-00006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41</xdr:row>
          <xdr:rowOff>0</xdr:rowOff>
        </xdr:from>
        <xdr:to>
          <xdr:col>19</xdr:col>
          <xdr:colOff>161925</xdr:colOff>
          <xdr:row>41</xdr:row>
          <xdr:rowOff>171450</xdr:rowOff>
        </xdr:to>
        <xdr:sp macro="" textlink="">
          <xdr:nvSpPr>
            <xdr:cNvPr id="57449" name="Option Button 105" hidden="1">
              <a:extLst>
                <a:ext uri="{63B3BB69-23CF-44E3-9099-C40C66FF867C}">
                  <a14:compatExt spid="_x0000_s57449"/>
                </a:ext>
                <a:ext uri="{FF2B5EF4-FFF2-40B4-BE49-F238E27FC236}">
                  <a16:creationId xmlns:a16="http://schemas.microsoft.com/office/drawing/2014/main" id="{00000000-0008-0000-0900-00006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39</xdr:row>
          <xdr:rowOff>180975</xdr:rowOff>
        </xdr:from>
        <xdr:to>
          <xdr:col>20</xdr:col>
          <xdr:colOff>28575</xdr:colOff>
          <xdr:row>41</xdr:row>
          <xdr:rowOff>0</xdr:rowOff>
        </xdr:to>
        <xdr:sp macro="" textlink="">
          <xdr:nvSpPr>
            <xdr:cNvPr id="57450" name="Group Box 106" hidden="1">
              <a:extLst>
                <a:ext uri="{63B3BB69-23CF-44E3-9099-C40C66FF867C}">
                  <a14:compatExt spid="_x0000_s57450"/>
                </a:ext>
                <a:ext uri="{FF2B5EF4-FFF2-40B4-BE49-F238E27FC236}">
                  <a16:creationId xmlns:a16="http://schemas.microsoft.com/office/drawing/2014/main" id="{00000000-0008-0000-0900-00006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41</xdr:row>
          <xdr:rowOff>0</xdr:rowOff>
        </xdr:from>
        <xdr:to>
          <xdr:col>20</xdr:col>
          <xdr:colOff>28575</xdr:colOff>
          <xdr:row>42</xdr:row>
          <xdr:rowOff>9525</xdr:rowOff>
        </xdr:to>
        <xdr:sp macro="" textlink="">
          <xdr:nvSpPr>
            <xdr:cNvPr id="57451" name="Group Box 107" hidden="1">
              <a:extLst>
                <a:ext uri="{63B3BB69-23CF-44E3-9099-C40C66FF867C}">
                  <a14:compatExt spid="_x0000_s57451"/>
                </a:ext>
                <a:ext uri="{FF2B5EF4-FFF2-40B4-BE49-F238E27FC236}">
                  <a16:creationId xmlns:a16="http://schemas.microsoft.com/office/drawing/2014/main" id="{00000000-0008-0000-0900-00006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42</xdr:row>
          <xdr:rowOff>9525</xdr:rowOff>
        </xdr:from>
        <xdr:to>
          <xdr:col>18</xdr:col>
          <xdr:colOff>9525</xdr:colOff>
          <xdr:row>42</xdr:row>
          <xdr:rowOff>180975</xdr:rowOff>
        </xdr:to>
        <xdr:sp macro="" textlink="">
          <xdr:nvSpPr>
            <xdr:cNvPr id="57452" name="Option Button 108" hidden="1">
              <a:extLst>
                <a:ext uri="{63B3BB69-23CF-44E3-9099-C40C66FF867C}">
                  <a14:compatExt spid="_x0000_s57452"/>
                </a:ext>
                <a:ext uri="{FF2B5EF4-FFF2-40B4-BE49-F238E27FC236}">
                  <a16:creationId xmlns:a16="http://schemas.microsoft.com/office/drawing/2014/main" id="{00000000-0008-0000-0900-00006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9525</xdr:rowOff>
        </xdr:from>
        <xdr:to>
          <xdr:col>19</xdr:col>
          <xdr:colOff>161925</xdr:colOff>
          <xdr:row>42</xdr:row>
          <xdr:rowOff>180975</xdr:rowOff>
        </xdr:to>
        <xdr:sp macro="" textlink="">
          <xdr:nvSpPr>
            <xdr:cNvPr id="57453" name="Option Button 109" hidden="1">
              <a:extLst>
                <a:ext uri="{63B3BB69-23CF-44E3-9099-C40C66FF867C}">
                  <a14:compatExt spid="_x0000_s57453"/>
                </a:ext>
                <a:ext uri="{FF2B5EF4-FFF2-40B4-BE49-F238E27FC236}">
                  <a16:creationId xmlns:a16="http://schemas.microsoft.com/office/drawing/2014/main" id="{00000000-0008-0000-0900-00006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42</xdr:row>
          <xdr:rowOff>0</xdr:rowOff>
        </xdr:from>
        <xdr:to>
          <xdr:col>20</xdr:col>
          <xdr:colOff>28575</xdr:colOff>
          <xdr:row>43</xdr:row>
          <xdr:rowOff>9525</xdr:rowOff>
        </xdr:to>
        <xdr:sp macro="" textlink="">
          <xdr:nvSpPr>
            <xdr:cNvPr id="57454" name="Group Box 110" hidden="1">
              <a:extLst>
                <a:ext uri="{63B3BB69-23CF-44E3-9099-C40C66FF867C}">
                  <a14:compatExt spid="_x0000_s57454"/>
                </a:ext>
                <a:ext uri="{FF2B5EF4-FFF2-40B4-BE49-F238E27FC236}">
                  <a16:creationId xmlns:a16="http://schemas.microsoft.com/office/drawing/2014/main" id="{00000000-0008-0000-0900-00006E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38</xdr:row>
          <xdr:rowOff>0</xdr:rowOff>
        </xdr:from>
        <xdr:to>
          <xdr:col>9</xdr:col>
          <xdr:colOff>9525</xdr:colOff>
          <xdr:row>38</xdr:row>
          <xdr:rowOff>171450</xdr:rowOff>
        </xdr:to>
        <xdr:sp macro="" textlink="">
          <xdr:nvSpPr>
            <xdr:cNvPr id="57455" name="Option Button 111" hidden="1">
              <a:extLst>
                <a:ext uri="{63B3BB69-23CF-44E3-9099-C40C66FF867C}">
                  <a14:compatExt spid="_x0000_s57455"/>
                </a:ext>
                <a:ext uri="{FF2B5EF4-FFF2-40B4-BE49-F238E27FC236}">
                  <a16:creationId xmlns:a16="http://schemas.microsoft.com/office/drawing/2014/main" id="{00000000-0008-0000-0900-00006F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0</xdr:rowOff>
        </xdr:from>
        <xdr:to>
          <xdr:col>10</xdr:col>
          <xdr:colOff>161925</xdr:colOff>
          <xdr:row>38</xdr:row>
          <xdr:rowOff>171450</xdr:rowOff>
        </xdr:to>
        <xdr:sp macro="" textlink="">
          <xdr:nvSpPr>
            <xdr:cNvPr id="57456" name="Option Button 112" hidden="1">
              <a:extLst>
                <a:ext uri="{63B3BB69-23CF-44E3-9099-C40C66FF867C}">
                  <a14:compatExt spid="_x0000_s57456"/>
                </a:ext>
                <a:ext uri="{FF2B5EF4-FFF2-40B4-BE49-F238E27FC236}">
                  <a16:creationId xmlns:a16="http://schemas.microsoft.com/office/drawing/2014/main" id="{00000000-0008-0000-0900-00007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39</xdr:row>
          <xdr:rowOff>0</xdr:rowOff>
        </xdr:from>
        <xdr:to>
          <xdr:col>9</xdr:col>
          <xdr:colOff>9525</xdr:colOff>
          <xdr:row>39</xdr:row>
          <xdr:rowOff>171450</xdr:rowOff>
        </xdr:to>
        <xdr:sp macro="" textlink="">
          <xdr:nvSpPr>
            <xdr:cNvPr id="57457" name="Option Button 113" hidden="1">
              <a:extLst>
                <a:ext uri="{63B3BB69-23CF-44E3-9099-C40C66FF867C}">
                  <a14:compatExt spid="_x0000_s57457"/>
                </a:ext>
                <a:ext uri="{FF2B5EF4-FFF2-40B4-BE49-F238E27FC236}">
                  <a16:creationId xmlns:a16="http://schemas.microsoft.com/office/drawing/2014/main" id="{00000000-0008-0000-0900-00007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0</xdr:rowOff>
        </xdr:from>
        <xdr:to>
          <xdr:col>10</xdr:col>
          <xdr:colOff>161925</xdr:colOff>
          <xdr:row>39</xdr:row>
          <xdr:rowOff>171450</xdr:rowOff>
        </xdr:to>
        <xdr:sp macro="" textlink="">
          <xdr:nvSpPr>
            <xdr:cNvPr id="57458" name="Option Button 114" hidden="1">
              <a:extLst>
                <a:ext uri="{63B3BB69-23CF-44E3-9099-C40C66FF867C}">
                  <a14:compatExt spid="_x0000_s57458"/>
                </a:ext>
                <a:ext uri="{FF2B5EF4-FFF2-40B4-BE49-F238E27FC236}">
                  <a16:creationId xmlns:a16="http://schemas.microsoft.com/office/drawing/2014/main" id="{00000000-0008-0000-0900-00007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37</xdr:row>
          <xdr:rowOff>180975</xdr:rowOff>
        </xdr:from>
        <xdr:to>
          <xdr:col>11</xdr:col>
          <xdr:colOff>28575</xdr:colOff>
          <xdr:row>39</xdr:row>
          <xdr:rowOff>0</xdr:rowOff>
        </xdr:to>
        <xdr:sp macro="" textlink="">
          <xdr:nvSpPr>
            <xdr:cNvPr id="57459" name="Group Box 115" hidden="1">
              <a:extLst>
                <a:ext uri="{63B3BB69-23CF-44E3-9099-C40C66FF867C}">
                  <a14:compatExt spid="_x0000_s57459"/>
                </a:ext>
                <a:ext uri="{FF2B5EF4-FFF2-40B4-BE49-F238E27FC236}">
                  <a16:creationId xmlns:a16="http://schemas.microsoft.com/office/drawing/2014/main" id="{00000000-0008-0000-0900-00007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39</xdr:row>
          <xdr:rowOff>0</xdr:rowOff>
        </xdr:from>
        <xdr:to>
          <xdr:col>11</xdr:col>
          <xdr:colOff>28575</xdr:colOff>
          <xdr:row>40</xdr:row>
          <xdr:rowOff>9525</xdr:rowOff>
        </xdr:to>
        <xdr:sp macro="" textlink="">
          <xdr:nvSpPr>
            <xdr:cNvPr id="57460" name="Group Box 116" hidden="1">
              <a:extLst>
                <a:ext uri="{63B3BB69-23CF-44E3-9099-C40C66FF867C}">
                  <a14:compatExt spid="_x0000_s57460"/>
                </a:ext>
                <a:ext uri="{FF2B5EF4-FFF2-40B4-BE49-F238E27FC236}">
                  <a16:creationId xmlns:a16="http://schemas.microsoft.com/office/drawing/2014/main" id="{00000000-0008-0000-0900-00007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40</xdr:row>
          <xdr:rowOff>0</xdr:rowOff>
        </xdr:from>
        <xdr:to>
          <xdr:col>9</xdr:col>
          <xdr:colOff>9525</xdr:colOff>
          <xdr:row>40</xdr:row>
          <xdr:rowOff>171450</xdr:rowOff>
        </xdr:to>
        <xdr:sp macro="" textlink="">
          <xdr:nvSpPr>
            <xdr:cNvPr id="57461" name="Option Button 117" hidden="1">
              <a:extLst>
                <a:ext uri="{63B3BB69-23CF-44E3-9099-C40C66FF867C}">
                  <a14:compatExt spid="_x0000_s57461"/>
                </a:ext>
                <a:ext uri="{FF2B5EF4-FFF2-40B4-BE49-F238E27FC236}">
                  <a16:creationId xmlns:a16="http://schemas.microsoft.com/office/drawing/2014/main" id="{00000000-0008-0000-0900-00007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0</xdr:rowOff>
        </xdr:from>
        <xdr:to>
          <xdr:col>10</xdr:col>
          <xdr:colOff>161925</xdr:colOff>
          <xdr:row>40</xdr:row>
          <xdr:rowOff>171450</xdr:rowOff>
        </xdr:to>
        <xdr:sp macro="" textlink="">
          <xdr:nvSpPr>
            <xdr:cNvPr id="57462" name="Option Button 118" hidden="1">
              <a:extLst>
                <a:ext uri="{63B3BB69-23CF-44E3-9099-C40C66FF867C}">
                  <a14:compatExt spid="_x0000_s57462"/>
                </a:ext>
                <a:ext uri="{FF2B5EF4-FFF2-40B4-BE49-F238E27FC236}">
                  <a16:creationId xmlns:a16="http://schemas.microsoft.com/office/drawing/2014/main" id="{00000000-0008-0000-0900-00007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41</xdr:row>
          <xdr:rowOff>0</xdr:rowOff>
        </xdr:from>
        <xdr:to>
          <xdr:col>9</xdr:col>
          <xdr:colOff>9525</xdr:colOff>
          <xdr:row>41</xdr:row>
          <xdr:rowOff>171450</xdr:rowOff>
        </xdr:to>
        <xdr:sp macro="" textlink="">
          <xdr:nvSpPr>
            <xdr:cNvPr id="57463" name="Option Button 119" hidden="1">
              <a:extLst>
                <a:ext uri="{63B3BB69-23CF-44E3-9099-C40C66FF867C}">
                  <a14:compatExt spid="_x0000_s57463"/>
                </a:ext>
                <a:ext uri="{FF2B5EF4-FFF2-40B4-BE49-F238E27FC236}">
                  <a16:creationId xmlns:a16="http://schemas.microsoft.com/office/drawing/2014/main" id="{00000000-0008-0000-0900-00007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0</xdr:rowOff>
        </xdr:from>
        <xdr:to>
          <xdr:col>10</xdr:col>
          <xdr:colOff>161925</xdr:colOff>
          <xdr:row>41</xdr:row>
          <xdr:rowOff>171450</xdr:rowOff>
        </xdr:to>
        <xdr:sp macro="" textlink="">
          <xdr:nvSpPr>
            <xdr:cNvPr id="57464" name="Option Button 120" hidden="1">
              <a:extLst>
                <a:ext uri="{63B3BB69-23CF-44E3-9099-C40C66FF867C}">
                  <a14:compatExt spid="_x0000_s57464"/>
                </a:ext>
                <a:ext uri="{FF2B5EF4-FFF2-40B4-BE49-F238E27FC236}">
                  <a16:creationId xmlns:a16="http://schemas.microsoft.com/office/drawing/2014/main" id="{00000000-0008-0000-0900-00007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39</xdr:row>
          <xdr:rowOff>180975</xdr:rowOff>
        </xdr:from>
        <xdr:to>
          <xdr:col>11</xdr:col>
          <xdr:colOff>28575</xdr:colOff>
          <xdr:row>41</xdr:row>
          <xdr:rowOff>0</xdr:rowOff>
        </xdr:to>
        <xdr:sp macro="" textlink="">
          <xdr:nvSpPr>
            <xdr:cNvPr id="57465" name="Group Box 121" hidden="1">
              <a:extLst>
                <a:ext uri="{63B3BB69-23CF-44E3-9099-C40C66FF867C}">
                  <a14:compatExt spid="_x0000_s57465"/>
                </a:ext>
                <a:ext uri="{FF2B5EF4-FFF2-40B4-BE49-F238E27FC236}">
                  <a16:creationId xmlns:a16="http://schemas.microsoft.com/office/drawing/2014/main" id="{00000000-0008-0000-0900-00007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41</xdr:row>
          <xdr:rowOff>0</xdr:rowOff>
        </xdr:from>
        <xdr:to>
          <xdr:col>11</xdr:col>
          <xdr:colOff>28575</xdr:colOff>
          <xdr:row>42</xdr:row>
          <xdr:rowOff>9525</xdr:rowOff>
        </xdr:to>
        <xdr:sp macro="" textlink="">
          <xdr:nvSpPr>
            <xdr:cNvPr id="57466" name="Group Box 122" hidden="1">
              <a:extLst>
                <a:ext uri="{63B3BB69-23CF-44E3-9099-C40C66FF867C}">
                  <a14:compatExt spid="_x0000_s57466"/>
                </a:ext>
                <a:ext uri="{FF2B5EF4-FFF2-40B4-BE49-F238E27FC236}">
                  <a16:creationId xmlns:a16="http://schemas.microsoft.com/office/drawing/2014/main" id="{00000000-0008-0000-0900-00007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42</xdr:row>
          <xdr:rowOff>9525</xdr:rowOff>
        </xdr:from>
        <xdr:to>
          <xdr:col>9</xdr:col>
          <xdr:colOff>9525</xdr:colOff>
          <xdr:row>42</xdr:row>
          <xdr:rowOff>180975</xdr:rowOff>
        </xdr:to>
        <xdr:sp macro="" textlink="">
          <xdr:nvSpPr>
            <xdr:cNvPr id="57467" name="Option Button 123" hidden="1">
              <a:extLst>
                <a:ext uri="{63B3BB69-23CF-44E3-9099-C40C66FF867C}">
                  <a14:compatExt spid="_x0000_s57467"/>
                </a:ext>
                <a:ext uri="{FF2B5EF4-FFF2-40B4-BE49-F238E27FC236}">
                  <a16:creationId xmlns:a16="http://schemas.microsoft.com/office/drawing/2014/main" id="{00000000-0008-0000-0900-00007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9525</xdr:rowOff>
        </xdr:from>
        <xdr:to>
          <xdr:col>10</xdr:col>
          <xdr:colOff>161925</xdr:colOff>
          <xdr:row>42</xdr:row>
          <xdr:rowOff>180975</xdr:rowOff>
        </xdr:to>
        <xdr:sp macro="" textlink="">
          <xdr:nvSpPr>
            <xdr:cNvPr id="57468" name="Option Button 124" hidden="1">
              <a:extLst>
                <a:ext uri="{63B3BB69-23CF-44E3-9099-C40C66FF867C}">
                  <a14:compatExt spid="_x0000_s57468"/>
                </a:ext>
                <a:ext uri="{FF2B5EF4-FFF2-40B4-BE49-F238E27FC236}">
                  <a16:creationId xmlns:a16="http://schemas.microsoft.com/office/drawing/2014/main" id="{00000000-0008-0000-0900-00007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42</xdr:row>
          <xdr:rowOff>0</xdr:rowOff>
        </xdr:from>
        <xdr:to>
          <xdr:col>11</xdr:col>
          <xdr:colOff>28575</xdr:colOff>
          <xdr:row>43</xdr:row>
          <xdr:rowOff>9525</xdr:rowOff>
        </xdr:to>
        <xdr:sp macro="" textlink="">
          <xdr:nvSpPr>
            <xdr:cNvPr id="57469" name="Group Box 125" hidden="1">
              <a:extLst>
                <a:ext uri="{63B3BB69-23CF-44E3-9099-C40C66FF867C}">
                  <a14:compatExt spid="_x0000_s57469"/>
                </a:ext>
                <a:ext uri="{FF2B5EF4-FFF2-40B4-BE49-F238E27FC236}">
                  <a16:creationId xmlns:a16="http://schemas.microsoft.com/office/drawing/2014/main" id="{00000000-0008-0000-0900-00007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</xdr:row>
          <xdr:rowOff>0</xdr:rowOff>
        </xdr:from>
        <xdr:to>
          <xdr:col>25</xdr:col>
          <xdr:colOff>0</xdr:colOff>
          <xdr:row>3</xdr:row>
          <xdr:rowOff>76200</xdr:rowOff>
        </xdr:to>
        <xdr:sp macro="" textlink="">
          <xdr:nvSpPr>
            <xdr:cNvPr id="57472" name="ResetButton" hidden="1">
              <a:extLst>
                <a:ext uri="{63B3BB69-23CF-44E3-9099-C40C66FF867C}">
                  <a14:compatExt spid="_x0000_s57472"/>
                </a:ext>
                <a:ext uri="{FF2B5EF4-FFF2-40B4-BE49-F238E27FC236}">
                  <a16:creationId xmlns:a16="http://schemas.microsoft.com/office/drawing/2014/main" id="{00000000-0008-0000-0900-00008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4763</xdr:colOff>
      <xdr:row>10</xdr:row>
      <xdr:rowOff>260152</xdr:rowOff>
    </xdr:from>
    <xdr:to>
      <xdr:col>13</xdr:col>
      <xdr:colOff>5953</xdr:colOff>
      <xdr:row>12</xdr:row>
      <xdr:rowOff>14884</xdr:rowOff>
    </xdr:to>
    <xdr:grpSp>
      <xdr:nvGrpSpPr>
        <xdr:cNvPr id="87" name="Gruppieren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GrpSpPr/>
      </xdr:nvGrpSpPr>
      <xdr:grpSpPr>
        <a:xfrm>
          <a:off x="481013" y="2463602"/>
          <a:ext cx="3487340" cy="180182"/>
          <a:chOff x="385763" y="2427090"/>
          <a:chExt cx="4079080" cy="219075"/>
        </a:xfrm>
      </xdr:grpSpPr>
      <xdr:sp macro="" textlink="">
        <xdr:nvSpPr>
          <xdr:cNvPr id="88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900-0000580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89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900-0000590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90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900-00005A0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91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900-00005B0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0</xdr:rowOff>
        </xdr:from>
        <xdr:to>
          <xdr:col>25</xdr:col>
          <xdr:colOff>0</xdr:colOff>
          <xdr:row>8</xdr:row>
          <xdr:rowOff>85725</xdr:rowOff>
        </xdr:to>
        <xdr:sp macro="" textlink="">
          <xdr:nvSpPr>
            <xdr:cNvPr id="57475" name="ResetButton" hidden="1">
              <a:extLst>
                <a:ext uri="{63B3BB69-23CF-44E3-9099-C40C66FF867C}">
                  <a14:compatExt spid="_x0000_s57475"/>
                </a:ext>
                <a:ext uri="{FF2B5EF4-FFF2-40B4-BE49-F238E27FC236}">
                  <a16:creationId xmlns:a16="http://schemas.microsoft.com/office/drawing/2014/main" id="{00000000-0008-0000-0900-00008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Checkboxen leeren!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293687</xdr:colOff>
      <xdr:row>0</xdr:row>
      <xdr:rowOff>3970</xdr:rowOff>
    </xdr:from>
    <xdr:to>
      <xdr:col>18</xdr:col>
      <xdr:colOff>6846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5137" y="3970"/>
          <a:ext cx="2511127" cy="1027112"/>
        </a:xfrm>
        <a:prstGeom prst="rect">
          <a:avLst/>
        </a:prstGeom>
      </xdr:spPr>
    </xdr:pic>
    <xdr:clientData/>
  </xdr:twoCellAnchor>
  <xdr:twoCellAnchor>
    <xdr:from>
      <xdr:col>0</xdr:col>
      <xdr:colOff>373674</xdr:colOff>
      <xdr:row>61</xdr:row>
      <xdr:rowOff>8985</xdr:rowOff>
    </xdr:from>
    <xdr:to>
      <xdr:col>17</xdr:col>
      <xdr:colOff>710745</xdr:colOff>
      <xdr:row>61</xdr:row>
      <xdr:rowOff>8985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>
          <a:grpSpLocks/>
        </xdr:cNvGrpSpPr>
      </xdr:nvGrpSpPr>
      <xdr:grpSpPr bwMode="auto">
        <a:xfrm>
          <a:off x="373674" y="11007185"/>
          <a:ext cx="6636271" cy="0"/>
          <a:chOff x="1078" y="369"/>
          <a:chExt cx="9902" cy="0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78" y="369"/>
            <a:ext cx="2475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3572" y="369"/>
            <a:ext cx="2458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049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8524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86264</xdr:colOff>
      <xdr:row>6</xdr:row>
      <xdr:rowOff>190499</xdr:rowOff>
    </xdr:from>
    <xdr:to>
      <xdr:col>13</xdr:col>
      <xdr:colOff>3596</xdr:colOff>
      <xdr:row>13</xdr:row>
      <xdr:rowOff>7188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4458239" y="1447799"/>
          <a:ext cx="3057" cy="1178764"/>
        </a:xfrm>
        <a:prstGeom prst="line">
          <a:avLst/>
        </a:prstGeom>
        <a:noFill/>
        <a:ln w="12192">
          <a:solidFill>
            <a:srgbClr val="FF7B1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4763</xdr:colOff>
      <xdr:row>11</xdr:row>
      <xdr:rowOff>260152</xdr:rowOff>
    </xdr:from>
    <xdr:to>
      <xdr:col>12</xdr:col>
      <xdr:colOff>5953</xdr:colOff>
      <xdr:row>13</xdr:row>
      <xdr:rowOff>14884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pSpPr/>
      </xdr:nvGrpSpPr>
      <xdr:grpSpPr>
        <a:xfrm>
          <a:off x="385763" y="2628702"/>
          <a:ext cx="4198540" cy="180182"/>
          <a:chOff x="385763" y="2427090"/>
          <a:chExt cx="4079080" cy="219075"/>
        </a:xfrm>
      </xdr:grpSpPr>
      <xdr:sp macro="" textlink="">
        <xdr:nvSpPr>
          <xdr:cNvPr id="14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15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16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17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</xdr:row>
          <xdr:rowOff>0</xdr:rowOff>
        </xdr:from>
        <xdr:to>
          <xdr:col>23</xdr:col>
          <xdr:colOff>28575</xdr:colOff>
          <xdr:row>3</xdr:row>
          <xdr:rowOff>76200</xdr:rowOff>
        </xdr:to>
        <xdr:sp macro="" textlink="">
          <xdr:nvSpPr>
            <xdr:cNvPr id="58409" name="ResetButton" hidden="1">
              <a:extLst>
                <a:ext uri="{63B3BB69-23CF-44E3-9099-C40C66FF867C}">
                  <a14:compatExt spid="_x0000_s58409"/>
                </a:ext>
                <a:ext uri="{FF2B5EF4-FFF2-40B4-BE49-F238E27FC236}">
                  <a16:creationId xmlns:a16="http://schemas.microsoft.com/office/drawing/2014/main" id="{00000000-0008-0000-0A00-00002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3571</xdr:colOff>
      <xdr:row>56</xdr:row>
      <xdr:rowOff>175207</xdr:rowOff>
    </xdr:from>
    <xdr:to>
      <xdr:col>6</xdr:col>
      <xdr:colOff>15478</xdr:colOff>
      <xdr:row>59</xdr:row>
      <xdr:rowOff>15479</xdr:rowOff>
    </xdr:to>
    <xdr:grpSp>
      <xdr:nvGrpSpPr>
        <xdr:cNvPr id="27" name="Group 9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GrpSpPr>
          <a:grpSpLocks/>
        </xdr:cNvGrpSpPr>
      </xdr:nvGrpSpPr>
      <xdr:grpSpPr bwMode="auto">
        <a:xfrm>
          <a:off x="384571" y="10239957"/>
          <a:ext cx="1853407" cy="392722"/>
          <a:chOff x="1080" y="-163"/>
          <a:chExt cx="1797" cy="566"/>
        </a:xfrm>
      </xdr:grpSpPr>
      <xdr:sp macro="" textlink="">
        <xdr:nvSpPr>
          <xdr:cNvPr id="28" name="Freeform 11">
            <a:extLst>
              <a:ext uri="{FF2B5EF4-FFF2-40B4-BE49-F238E27FC236}">
                <a16:creationId xmlns:a16="http://schemas.microsoft.com/office/drawing/2014/main" id="{00000000-0008-0000-0A00-00001C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Text Box 10">
            <a:extLst>
              <a:ext uri="{FF2B5EF4-FFF2-40B4-BE49-F238E27FC236}">
                <a16:creationId xmlns:a16="http://schemas.microsoft.com/office/drawing/2014/main" id="{00000000-0008-0000-0A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xdr:twoCellAnchor>
    <xdr:from>
      <xdr:col>1</xdr:col>
      <xdr:colOff>7143</xdr:colOff>
      <xdr:row>52</xdr:row>
      <xdr:rowOff>47810</xdr:rowOff>
    </xdr:from>
    <xdr:to>
      <xdr:col>6</xdr:col>
      <xdr:colOff>19050</xdr:colOff>
      <xdr:row>54</xdr:row>
      <xdr:rowOff>78582</xdr:rowOff>
    </xdr:to>
    <xdr:grpSp>
      <xdr:nvGrpSpPr>
        <xdr:cNvPr id="30" name="Group 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GrpSpPr>
          <a:grpSpLocks/>
        </xdr:cNvGrpSpPr>
      </xdr:nvGrpSpPr>
      <xdr:grpSpPr bwMode="auto">
        <a:xfrm>
          <a:off x="388143" y="9483910"/>
          <a:ext cx="1853407" cy="411772"/>
          <a:chOff x="1080" y="-163"/>
          <a:chExt cx="1797" cy="566"/>
        </a:xfrm>
      </xdr:grpSpPr>
      <xdr:sp macro="" textlink="">
        <xdr:nvSpPr>
          <xdr:cNvPr id="31" name="Freeform 11">
            <a:extLst>
              <a:ext uri="{FF2B5EF4-FFF2-40B4-BE49-F238E27FC236}">
                <a16:creationId xmlns:a16="http://schemas.microsoft.com/office/drawing/2014/main" id="{00000000-0008-0000-0A00-00001F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Text Box 10">
            <a:extLst>
              <a:ext uri="{FF2B5EF4-FFF2-40B4-BE49-F238E27FC236}">
                <a16:creationId xmlns:a16="http://schemas.microsoft.com/office/drawing/2014/main" id="{00000000-0008-0000-0A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50</xdr:row>
          <xdr:rowOff>9525</xdr:rowOff>
        </xdr:from>
        <xdr:to>
          <xdr:col>8</xdr:col>
          <xdr:colOff>323850</xdr:colOff>
          <xdr:row>51</xdr:row>
          <xdr:rowOff>9525</xdr:rowOff>
        </xdr:to>
        <xdr:sp macro="" textlink="">
          <xdr:nvSpPr>
            <xdr:cNvPr id="58410" name="Check Box 42" hidden="1">
              <a:extLst>
                <a:ext uri="{63B3BB69-23CF-44E3-9099-C40C66FF867C}">
                  <a14:compatExt spid="_x0000_s58410"/>
                </a:ext>
                <a:ext uri="{FF2B5EF4-FFF2-40B4-BE49-F238E27FC236}">
                  <a16:creationId xmlns:a16="http://schemas.microsoft.com/office/drawing/2014/main" id="{00000000-0008-0000-0A00-00002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Schiedsrichter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50</xdr:row>
          <xdr:rowOff>9525</xdr:rowOff>
        </xdr:from>
        <xdr:to>
          <xdr:col>11</xdr:col>
          <xdr:colOff>361950</xdr:colOff>
          <xdr:row>51</xdr:row>
          <xdr:rowOff>9525</xdr:rowOff>
        </xdr:to>
        <xdr:sp macro="" textlink="">
          <xdr:nvSpPr>
            <xdr:cNvPr id="58411" name="Check Box 43" hidden="1">
              <a:extLst>
                <a:ext uri="{63B3BB69-23CF-44E3-9099-C40C66FF867C}">
                  <a14:compatExt spid="_x0000_s58411"/>
                </a:ext>
                <a:ext uri="{FF2B5EF4-FFF2-40B4-BE49-F238E27FC236}">
                  <a16:creationId xmlns:a16="http://schemas.microsoft.com/office/drawing/2014/main" id="{00000000-0008-0000-0A00-00002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Schiedsrichter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9525</xdr:rowOff>
        </xdr:from>
        <xdr:to>
          <xdr:col>18</xdr:col>
          <xdr:colOff>0</xdr:colOff>
          <xdr:row>51</xdr:row>
          <xdr:rowOff>9525</xdr:rowOff>
        </xdr:to>
        <xdr:sp macro="" textlink="">
          <xdr:nvSpPr>
            <xdr:cNvPr id="58412" name="Check Box 44" hidden="1">
              <a:extLst>
                <a:ext uri="{63B3BB69-23CF-44E3-9099-C40C66FF867C}">
                  <a14:compatExt spid="_x0000_s58412"/>
                </a:ext>
                <a:ext uri="{FF2B5EF4-FFF2-40B4-BE49-F238E27FC236}">
                  <a16:creationId xmlns:a16="http://schemas.microsoft.com/office/drawing/2014/main" id="{00000000-0008-0000-0A00-00002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Fortsetzung auf der Rückseite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202406</xdr:colOff>
      <xdr:row>32</xdr:row>
      <xdr:rowOff>23810</xdr:rowOff>
    </xdr:from>
    <xdr:to>
      <xdr:col>17</xdr:col>
      <xdr:colOff>297657</xdr:colOff>
      <xdr:row>39</xdr:row>
      <xdr:rowOff>12465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42" t="3031" r="1254" b="563"/>
        <a:stretch/>
      </xdr:blipFill>
      <xdr:spPr>
        <a:xfrm>
          <a:off x="4661297" y="5911451"/>
          <a:ext cx="1857376" cy="11018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9525</xdr:rowOff>
        </xdr:from>
        <xdr:to>
          <xdr:col>2</xdr:col>
          <xdr:colOff>228600</xdr:colOff>
          <xdr:row>36</xdr:row>
          <xdr:rowOff>9525</xdr:rowOff>
        </xdr:to>
        <xdr:sp macro="" textlink="">
          <xdr:nvSpPr>
            <xdr:cNvPr id="58413" name="Check Box 45" hidden="1">
              <a:extLst>
                <a:ext uri="{63B3BB69-23CF-44E3-9099-C40C66FF867C}">
                  <a14:compatExt spid="_x0000_s58413"/>
                </a:ext>
                <a:ext uri="{FF2B5EF4-FFF2-40B4-BE49-F238E27FC236}">
                  <a16:creationId xmlns:a16="http://schemas.microsoft.com/office/drawing/2014/main" id="{00000000-0008-0000-0A00-00002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0</xdr:rowOff>
        </xdr:from>
        <xdr:to>
          <xdr:col>2</xdr:col>
          <xdr:colOff>228600</xdr:colOff>
          <xdr:row>37</xdr:row>
          <xdr:rowOff>0</xdr:rowOff>
        </xdr:to>
        <xdr:sp macro="" textlink="">
          <xdr:nvSpPr>
            <xdr:cNvPr id="58414" name="Check Box 46" hidden="1">
              <a:extLst>
                <a:ext uri="{63B3BB69-23CF-44E3-9099-C40C66FF867C}">
                  <a14:compatExt spid="_x0000_s58414"/>
                </a:ext>
                <a:ext uri="{FF2B5EF4-FFF2-40B4-BE49-F238E27FC236}">
                  <a16:creationId xmlns:a16="http://schemas.microsoft.com/office/drawing/2014/main" id="{00000000-0008-0000-0A00-00002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190500</xdr:rowOff>
        </xdr:from>
        <xdr:to>
          <xdr:col>2</xdr:col>
          <xdr:colOff>228600</xdr:colOff>
          <xdr:row>38</xdr:row>
          <xdr:rowOff>0</xdr:rowOff>
        </xdr:to>
        <xdr:sp macro="" textlink="">
          <xdr:nvSpPr>
            <xdr:cNvPr id="58415" name="Check Box 47" hidden="1">
              <a:extLst>
                <a:ext uri="{63B3BB69-23CF-44E3-9099-C40C66FF867C}">
                  <a14:compatExt spid="_x0000_s58415"/>
                </a:ext>
                <a:ext uri="{FF2B5EF4-FFF2-40B4-BE49-F238E27FC236}">
                  <a16:creationId xmlns:a16="http://schemas.microsoft.com/office/drawing/2014/main" id="{00000000-0008-0000-0A00-00002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5954</xdr:rowOff>
    </xdr:from>
    <xdr:to>
      <xdr:col>0</xdr:col>
      <xdr:colOff>357188</xdr:colOff>
      <xdr:row>54</xdr:row>
      <xdr:rowOff>5954</xdr:rowOff>
    </xdr:to>
    <xdr:sp macro="" textlink="">
      <xdr:nvSpPr>
        <xdr:cNvPr id="18" name="Pfeil: nach oben und unten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0" y="4905376"/>
          <a:ext cx="357188" cy="4720828"/>
        </a:xfrm>
        <a:prstGeom prst="up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Diese Angaben sind ausschließlich durch die Schiedsrichter vorzunehmen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19050</xdr:rowOff>
        </xdr:from>
        <xdr:to>
          <xdr:col>17</xdr:col>
          <xdr:colOff>533400</xdr:colOff>
          <xdr:row>11</xdr:row>
          <xdr:rowOff>238125</xdr:rowOff>
        </xdr:to>
        <xdr:sp macro="" textlink="">
          <xdr:nvSpPr>
            <xdr:cNvPr id="58424" name="Option Button 56" hidden="1">
              <a:extLst>
                <a:ext uri="{63B3BB69-23CF-44E3-9099-C40C66FF867C}">
                  <a14:compatExt spid="_x0000_s58424"/>
                </a:ext>
                <a:ext uri="{FF2B5EF4-FFF2-40B4-BE49-F238E27FC236}">
                  <a16:creationId xmlns:a16="http://schemas.microsoft.com/office/drawing/2014/main" id="{00000000-0008-0000-0A00-00003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Verstoß gegen WKO-Bestimmungen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238125</xdr:rowOff>
        </xdr:from>
        <xdr:to>
          <xdr:col>17</xdr:col>
          <xdr:colOff>285750</xdr:colOff>
          <xdr:row>13</xdr:row>
          <xdr:rowOff>38100</xdr:rowOff>
        </xdr:to>
        <xdr:sp macro="" textlink="">
          <xdr:nvSpPr>
            <xdr:cNvPr id="58425" name="Option Button 57" hidden="1">
              <a:extLst>
                <a:ext uri="{63B3BB69-23CF-44E3-9099-C40C66FF867C}">
                  <a14:compatExt spid="_x0000_s58425"/>
                </a:ext>
                <a:ext uri="{FF2B5EF4-FFF2-40B4-BE49-F238E27FC236}">
                  <a16:creationId xmlns:a16="http://schemas.microsoft.com/office/drawing/2014/main" id="{00000000-0008-0000-0A00-00003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Verletzung / Sonstiges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47625</xdr:rowOff>
        </xdr:from>
        <xdr:to>
          <xdr:col>17</xdr:col>
          <xdr:colOff>533400</xdr:colOff>
          <xdr:row>11</xdr:row>
          <xdr:rowOff>9525</xdr:rowOff>
        </xdr:to>
        <xdr:sp macro="" textlink="">
          <xdr:nvSpPr>
            <xdr:cNvPr id="58426" name="Option Button 58" hidden="1">
              <a:extLst>
                <a:ext uri="{63B3BB69-23CF-44E3-9099-C40C66FF867C}">
                  <a14:compatExt spid="_x0000_s58426"/>
                </a:ext>
                <a:ext uri="{FF2B5EF4-FFF2-40B4-BE49-F238E27FC236}">
                  <a16:creationId xmlns:a16="http://schemas.microsoft.com/office/drawing/2014/main" id="{00000000-0008-0000-0A00-00003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Disziplinarvergehen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200025</xdr:rowOff>
        </xdr:from>
        <xdr:to>
          <xdr:col>17</xdr:col>
          <xdr:colOff>533400</xdr:colOff>
          <xdr:row>10</xdr:row>
          <xdr:rowOff>28575</xdr:rowOff>
        </xdr:to>
        <xdr:sp macro="" textlink="">
          <xdr:nvSpPr>
            <xdr:cNvPr id="58427" name="Option Button 59" hidden="1">
              <a:extLst>
                <a:ext uri="{63B3BB69-23CF-44E3-9099-C40C66FF867C}">
                  <a14:compatExt spid="_x0000_s58427"/>
                </a:ext>
                <a:ext uri="{FF2B5EF4-FFF2-40B4-BE49-F238E27FC236}">
                  <a16:creationId xmlns:a16="http://schemas.microsoft.com/office/drawing/2014/main" id="{00000000-0008-0000-0A00-00003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Spieldauerdisziplinarstrafe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190500</xdr:rowOff>
        </xdr:from>
        <xdr:to>
          <xdr:col>17</xdr:col>
          <xdr:colOff>542925</xdr:colOff>
          <xdr:row>8</xdr:row>
          <xdr:rowOff>190500</xdr:rowOff>
        </xdr:to>
        <xdr:sp macro="" textlink="">
          <xdr:nvSpPr>
            <xdr:cNvPr id="58428" name="Option Button 60" hidden="1">
              <a:extLst>
                <a:ext uri="{63B3BB69-23CF-44E3-9099-C40C66FF867C}">
                  <a14:compatExt spid="_x0000_s58428"/>
                </a:ext>
                <a:ext uri="{FF2B5EF4-FFF2-40B4-BE49-F238E27FC236}">
                  <a16:creationId xmlns:a16="http://schemas.microsoft.com/office/drawing/2014/main" id="{00000000-0008-0000-0A00-00003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Matchstrafe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</xdr:row>
          <xdr:rowOff>28575</xdr:rowOff>
        </xdr:from>
        <xdr:to>
          <xdr:col>23</xdr:col>
          <xdr:colOff>38100</xdr:colOff>
          <xdr:row>6</xdr:row>
          <xdr:rowOff>142875</xdr:rowOff>
        </xdr:to>
        <xdr:sp macro="" textlink="">
          <xdr:nvSpPr>
            <xdr:cNvPr id="58429" name="ResetButton" hidden="1">
              <a:extLst>
                <a:ext uri="{63B3BB69-23CF-44E3-9099-C40C66FF867C}">
                  <a14:compatExt spid="_x0000_s58429"/>
                </a:ext>
                <a:ext uri="{FF2B5EF4-FFF2-40B4-BE49-F238E27FC236}">
                  <a16:creationId xmlns:a16="http://schemas.microsoft.com/office/drawing/2014/main" id="{00000000-0008-0000-0A00-00003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Kopie erzeugen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A5FE5D2-8B9D-4442-A16B-6B60253DFADE}" name="Team_A_2" displayName="Team_A_2" ref="A1:F37" totalsRowShown="0">
  <autoFilter ref="A1:F37" xr:uid="{B1E9B874-6D75-4EB5-B92D-D5ED34D437B1}"/>
  <tableColumns count="6">
    <tableColumn id="5" xr3:uid="{3FFB1521-E2DF-47A1-A8BE-BE3A9407A1C3}" name="Passnummer"/>
    <tableColumn id="1" xr3:uid="{355CFBEF-4682-4F70-8BEE-BBC3A5CAF4CE}" name="Trikotnummer"/>
    <tableColumn id="2" xr3:uid="{4405333E-112A-4D08-840D-3E10682392C1}" name="Funktion" dataDxfId="64"/>
    <tableColumn id="3" xr3:uid="{6A2566BE-49E9-4955-B140-00929B13CA8D}" name="Nachname"/>
    <tableColumn id="4" xr3:uid="{C94B7284-7CAB-4D54-827A-3AE0755DDFB7}" name="Vorname"/>
    <tableColumn id="6" xr3:uid="{3C2A95DF-2C21-4F9F-93F1-E80C85E70E0C}" name="Verein" dataDxfId="63">
      <calculatedColumnFormula>IF(Club2!$C$1="","",Club2!$C$1)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69BFC2-281F-4E49-A830-E9BCF496E900}" name="Team_A45" displayName="Team_A45" ref="A7:E25" totalsRowShown="0" headerRowDxfId="62" dataDxfId="61">
  <autoFilter ref="A7:E25" xr:uid="{65AA3FC1-02CD-4843-8666-3DE118643F94}"/>
  <tableColumns count="5">
    <tableColumn id="1" xr3:uid="{72D2D3FA-CB36-4CE4-9AC1-5663722A333F}" name="Trikotnummer" dataDxfId="60"/>
    <tableColumn id="2" xr3:uid="{006A6E05-2928-416F-A548-62ADB48CB379}" name="Funktion" dataDxfId="59"/>
    <tableColumn id="3" xr3:uid="{9057C997-B07E-4406-B480-A48648883B39}" name="Nachname" dataDxfId="58"/>
    <tableColumn id="4" xr3:uid="{386F8F13-7DC2-40C9-878C-FCCEB3666E38}" name="Vorname" dataDxfId="57"/>
    <tableColumn id="5" xr3:uid="{C5865CD0-34D7-4CC1-830B-A47A8642EBC6}" name="Passnummer" dataDxfId="5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EC526D-574F-4055-9AB5-0063E4A32B6E}" name="Team_A4" displayName="Team_A4" ref="A7:E25" totalsRowShown="0" headerRowDxfId="55" dataDxfId="54">
  <autoFilter ref="A7:E25" xr:uid="{7C69BEA8-1BA8-4C14-A02F-FE4B0D15FCC6}"/>
  <tableColumns count="5">
    <tableColumn id="1" xr3:uid="{D2654E7E-451C-45D4-899D-5D44F1D86B4B}" name="Trikotnummer" dataDxfId="53"/>
    <tableColumn id="2" xr3:uid="{15D1B42A-5CFD-436F-A746-8F9C986F08BA}" name="Funktion" dataDxfId="52"/>
    <tableColumn id="3" xr3:uid="{80A17712-92F5-4693-B981-66AEB626BF45}" name="Nachname" dataDxfId="51"/>
    <tableColumn id="4" xr3:uid="{2CF20190-E3BF-45B3-9F0A-53095D2FD5CA}" name="Vorname" dataDxfId="50"/>
    <tableColumn id="5" xr3:uid="{96D2E0C5-0DFB-404C-A980-7D93DC27CDDE}" name="Passnummer" dataDxfId="4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0.xml"/><Relationship Id="rId21" Type="http://schemas.openxmlformats.org/officeDocument/2006/relationships/ctrlProp" Target="../ctrlProps/ctrlProp85.xml"/><Relationship Id="rId34" Type="http://schemas.openxmlformats.org/officeDocument/2006/relationships/ctrlProp" Target="../ctrlProps/ctrlProp98.xml"/><Relationship Id="rId42" Type="http://schemas.openxmlformats.org/officeDocument/2006/relationships/ctrlProp" Target="../ctrlProps/ctrlProp106.xml"/><Relationship Id="rId47" Type="http://schemas.openxmlformats.org/officeDocument/2006/relationships/ctrlProp" Target="../ctrlProps/ctrlProp111.xml"/><Relationship Id="rId50" Type="http://schemas.openxmlformats.org/officeDocument/2006/relationships/ctrlProp" Target="../ctrlProps/ctrlProp114.xml"/><Relationship Id="rId55" Type="http://schemas.openxmlformats.org/officeDocument/2006/relationships/ctrlProp" Target="../ctrlProps/ctrlProp119.xml"/><Relationship Id="rId63" Type="http://schemas.openxmlformats.org/officeDocument/2006/relationships/ctrlProp" Target="../ctrlProps/ctrlProp127.xml"/><Relationship Id="rId68" Type="http://schemas.openxmlformats.org/officeDocument/2006/relationships/ctrlProp" Target="../ctrlProps/ctrlProp132.xml"/><Relationship Id="rId7" Type="http://schemas.openxmlformats.org/officeDocument/2006/relationships/ctrlProp" Target="../ctrlProps/ctrlProp71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80.xml"/><Relationship Id="rId29" Type="http://schemas.openxmlformats.org/officeDocument/2006/relationships/ctrlProp" Target="../ctrlProps/ctrlProp93.xml"/><Relationship Id="rId11" Type="http://schemas.openxmlformats.org/officeDocument/2006/relationships/ctrlProp" Target="../ctrlProps/ctrlProp75.xml"/><Relationship Id="rId24" Type="http://schemas.openxmlformats.org/officeDocument/2006/relationships/ctrlProp" Target="../ctrlProps/ctrlProp88.xml"/><Relationship Id="rId32" Type="http://schemas.openxmlformats.org/officeDocument/2006/relationships/ctrlProp" Target="../ctrlProps/ctrlProp96.xml"/><Relationship Id="rId37" Type="http://schemas.openxmlformats.org/officeDocument/2006/relationships/ctrlProp" Target="../ctrlProps/ctrlProp101.xml"/><Relationship Id="rId40" Type="http://schemas.openxmlformats.org/officeDocument/2006/relationships/ctrlProp" Target="../ctrlProps/ctrlProp104.xml"/><Relationship Id="rId45" Type="http://schemas.openxmlformats.org/officeDocument/2006/relationships/ctrlProp" Target="../ctrlProps/ctrlProp109.xml"/><Relationship Id="rId53" Type="http://schemas.openxmlformats.org/officeDocument/2006/relationships/ctrlProp" Target="../ctrlProps/ctrlProp117.xml"/><Relationship Id="rId58" Type="http://schemas.openxmlformats.org/officeDocument/2006/relationships/ctrlProp" Target="../ctrlProps/ctrlProp122.xml"/><Relationship Id="rId66" Type="http://schemas.openxmlformats.org/officeDocument/2006/relationships/ctrlProp" Target="../ctrlProps/ctrlProp130.xml"/><Relationship Id="rId5" Type="http://schemas.openxmlformats.org/officeDocument/2006/relationships/ctrlProp" Target="../ctrlProps/ctrlProp69.xml"/><Relationship Id="rId61" Type="http://schemas.openxmlformats.org/officeDocument/2006/relationships/ctrlProp" Target="../ctrlProps/ctrlProp125.xml"/><Relationship Id="rId19" Type="http://schemas.openxmlformats.org/officeDocument/2006/relationships/ctrlProp" Target="../ctrlProps/ctrlProp83.xml"/><Relationship Id="rId14" Type="http://schemas.openxmlformats.org/officeDocument/2006/relationships/ctrlProp" Target="../ctrlProps/ctrlProp78.xml"/><Relationship Id="rId22" Type="http://schemas.openxmlformats.org/officeDocument/2006/relationships/ctrlProp" Target="../ctrlProps/ctrlProp86.xml"/><Relationship Id="rId27" Type="http://schemas.openxmlformats.org/officeDocument/2006/relationships/ctrlProp" Target="../ctrlProps/ctrlProp91.xml"/><Relationship Id="rId30" Type="http://schemas.openxmlformats.org/officeDocument/2006/relationships/ctrlProp" Target="../ctrlProps/ctrlProp94.xml"/><Relationship Id="rId35" Type="http://schemas.openxmlformats.org/officeDocument/2006/relationships/ctrlProp" Target="../ctrlProps/ctrlProp99.xml"/><Relationship Id="rId43" Type="http://schemas.openxmlformats.org/officeDocument/2006/relationships/ctrlProp" Target="../ctrlProps/ctrlProp107.xml"/><Relationship Id="rId48" Type="http://schemas.openxmlformats.org/officeDocument/2006/relationships/ctrlProp" Target="../ctrlProps/ctrlProp112.xml"/><Relationship Id="rId56" Type="http://schemas.openxmlformats.org/officeDocument/2006/relationships/ctrlProp" Target="../ctrlProps/ctrlProp120.xml"/><Relationship Id="rId64" Type="http://schemas.openxmlformats.org/officeDocument/2006/relationships/ctrlProp" Target="../ctrlProps/ctrlProp128.xml"/><Relationship Id="rId8" Type="http://schemas.openxmlformats.org/officeDocument/2006/relationships/ctrlProp" Target="../ctrlProps/ctrlProp72.xml"/><Relationship Id="rId51" Type="http://schemas.openxmlformats.org/officeDocument/2006/relationships/ctrlProp" Target="../ctrlProps/ctrlProp11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5" Type="http://schemas.openxmlformats.org/officeDocument/2006/relationships/ctrlProp" Target="../ctrlProps/ctrlProp89.xml"/><Relationship Id="rId33" Type="http://schemas.openxmlformats.org/officeDocument/2006/relationships/ctrlProp" Target="../ctrlProps/ctrlProp97.xml"/><Relationship Id="rId38" Type="http://schemas.openxmlformats.org/officeDocument/2006/relationships/ctrlProp" Target="../ctrlProps/ctrlProp102.xml"/><Relationship Id="rId46" Type="http://schemas.openxmlformats.org/officeDocument/2006/relationships/ctrlProp" Target="../ctrlProps/ctrlProp110.xml"/><Relationship Id="rId59" Type="http://schemas.openxmlformats.org/officeDocument/2006/relationships/ctrlProp" Target="../ctrlProps/ctrlProp123.xml"/><Relationship Id="rId67" Type="http://schemas.openxmlformats.org/officeDocument/2006/relationships/ctrlProp" Target="../ctrlProps/ctrlProp131.xml"/><Relationship Id="rId20" Type="http://schemas.openxmlformats.org/officeDocument/2006/relationships/ctrlProp" Target="../ctrlProps/ctrlProp84.xml"/><Relationship Id="rId41" Type="http://schemas.openxmlformats.org/officeDocument/2006/relationships/ctrlProp" Target="../ctrlProps/ctrlProp105.xml"/><Relationship Id="rId54" Type="http://schemas.openxmlformats.org/officeDocument/2006/relationships/ctrlProp" Target="../ctrlProps/ctrlProp118.xml"/><Relationship Id="rId62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70.xml"/><Relationship Id="rId15" Type="http://schemas.openxmlformats.org/officeDocument/2006/relationships/ctrlProp" Target="../ctrlProps/ctrlProp79.xml"/><Relationship Id="rId23" Type="http://schemas.openxmlformats.org/officeDocument/2006/relationships/ctrlProp" Target="../ctrlProps/ctrlProp87.xml"/><Relationship Id="rId28" Type="http://schemas.openxmlformats.org/officeDocument/2006/relationships/ctrlProp" Target="../ctrlProps/ctrlProp92.xml"/><Relationship Id="rId36" Type="http://schemas.openxmlformats.org/officeDocument/2006/relationships/ctrlProp" Target="../ctrlProps/ctrlProp100.xml"/><Relationship Id="rId49" Type="http://schemas.openxmlformats.org/officeDocument/2006/relationships/ctrlProp" Target="../ctrlProps/ctrlProp113.xml"/><Relationship Id="rId57" Type="http://schemas.openxmlformats.org/officeDocument/2006/relationships/ctrlProp" Target="../ctrlProps/ctrlProp121.xml"/><Relationship Id="rId10" Type="http://schemas.openxmlformats.org/officeDocument/2006/relationships/ctrlProp" Target="../ctrlProps/ctrlProp74.xml"/><Relationship Id="rId31" Type="http://schemas.openxmlformats.org/officeDocument/2006/relationships/ctrlProp" Target="../ctrlProps/ctrlProp95.xml"/><Relationship Id="rId44" Type="http://schemas.openxmlformats.org/officeDocument/2006/relationships/ctrlProp" Target="../ctrlProps/ctrlProp108.xml"/><Relationship Id="rId52" Type="http://schemas.openxmlformats.org/officeDocument/2006/relationships/ctrlProp" Target="../ctrlProps/ctrlProp116.xml"/><Relationship Id="rId60" Type="http://schemas.openxmlformats.org/officeDocument/2006/relationships/ctrlProp" Target="../ctrlProps/ctrlProp124.xml"/><Relationship Id="rId65" Type="http://schemas.openxmlformats.org/officeDocument/2006/relationships/ctrlProp" Target="../ctrlProps/ctrlProp129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39" Type="http://schemas.openxmlformats.org/officeDocument/2006/relationships/ctrlProp" Target="../ctrlProps/ctrlProp103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7.xml"/><Relationship Id="rId13" Type="http://schemas.openxmlformats.org/officeDocument/2006/relationships/ctrlProp" Target="../ctrlProps/ctrlProp142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36.xml"/><Relationship Id="rId12" Type="http://schemas.openxmlformats.org/officeDocument/2006/relationships/ctrlProp" Target="../ctrlProps/ctrlProp14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5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35.xml"/><Relationship Id="rId11" Type="http://schemas.openxmlformats.org/officeDocument/2006/relationships/ctrlProp" Target="../ctrlProps/ctrlProp140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10" Type="http://schemas.openxmlformats.org/officeDocument/2006/relationships/ctrlProp" Target="../ctrlProps/ctrlProp139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9818-D65B-4C23-B1EB-D2DBB1C98DF5}">
  <sheetPr codeName="Tabelle12">
    <tabColor rgb="FFFFFF00"/>
  </sheetPr>
  <dimension ref="A1:E26"/>
  <sheetViews>
    <sheetView zoomScale="145" zoomScaleNormal="145" workbookViewId="0">
      <selection activeCell="F6" sqref="F6"/>
    </sheetView>
  </sheetViews>
  <sheetFormatPr baseColWidth="10" defaultRowHeight="15"/>
  <cols>
    <col min="1" max="1" width="6.42578125" bestFit="1" customWidth="1"/>
    <col min="2" max="2" width="7.5703125" style="92" bestFit="1" customWidth="1"/>
    <col min="3" max="3" width="12" style="93" bestFit="1" customWidth="1"/>
  </cols>
  <sheetData>
    <row r="1" spans="1:5">
      <c r="A1" s="94" t="s">
        <v>102</v>
      </c>
      <c r="B1" s="95" t="s">
        <v>124</v>
      </c>
      <c r="C1" s="96" t="s">
        <v>136</v>
      </c>
      <c r="D1" s="333" t="s">
        <v>260</v>
      </c>
      <c r="E1" s="333" t="s">
        <v>139</v>
      </c>
    </row>
    <row r="2" spans="1:5">
      <c r="A2" t="s">
        <v>8</v>
      </c>
      <c r="B2" s="92">
        <v>2</v>
      </c>
      <c r="C2" s="93">
        <v>2</v>
      </c>
      <c r="D2" s="334">
        <v>1200</v>
      </c>
      <c r="E2" s="334">
        <v>500</v>
      </c>
    </row>
    <row r="3" spans="1:5">
      <c r="A3" t="s">
        <v>103</v>
      </c>
      <c r="B3" s="92">
        <v>5</v>
      </c>
      <c r="C3" s="93">
        <v>5</v>
      </c>
      <c r="D3" s="334">
        <v>1500</v>
      </c>
      <c r="E3" s="334">
        <v>1000</v>
      </c>
    </row>
    <row r="4" spans="1:5">
      <c r="A4" t="s">
        <v>20</v>
      </c>
      <c r="B4" s="92">
        <v>10</v>
      </c>
      <c r="C4" s="93">
        <v>10</v>
      </c>
      <c r="D4" s="334">
        <v>2000</v>
      </c>
      <c r="E4" s="334"/>
    </row>
    <row r="5" spans="1:5">
      <c r="A5" t="s">
        <v>104</v>
      </c>
      <c r="B5" s="92" t="s">
        <v>126</v>
      </c>
      <c r="C5" s="93">
        <v>5</v>
      </c>
    </row>
    <row r="6" spans="1:5">
      <c r="A6" t="s">
        <v>105</v>
      </c>
      <c r="B6" s="92" t="s">
        <v>128</v>
      </c>
      <c r="C6" s="93">
        <v>10</v>
      </c>
    </row>
    <row r="7" spans="1:5">
      <c r="A7" t="s">
        <v>25</v>
      </c>
      <c r="B7" s="92" t="s">
        <v>127</v>
      </c>
    </row>
    <row r="8" spans="1:5">
      <c r="A8" t="s">
        <v>7</v>
      </c>
      <c r="B8" s="92" t="s">
        <v>125</v>
      </c>
    </row>
    <row r="9" spans="1:5">
      <c r="A9" t="s">
        <v>106</v>
      </c>
      <c r="B9" s="92">
        <v>1</v>
      </c>
      <c r="C9" s="93">
        <v>1</v>
      </c>
    </row>
    <row r="10" spans="1:5">
      <c r="A10" t="s">
        <v>107</v>
      </c>
      <c r="B10" s="92">
        <v>2.5</v>
      </c>
      <c r="C10" s="93">
        <v>2.5</v>
      </c>
    </row>
    <row r="11" spans="1:5">
      <c r="A11" t="s">
        <v>108</v>
      </c>
      <c r="B11" s="92" t="s">
        <v>134</v>
      </c>
      <c r="C11" s="93">
        <v>2.5</v>
      </c>
    </row>
    <row r="12" spans="1:5">
      <c r="A12" t="s">
        <v>109</v>
      </c>
    </row>
    <row r="13" spans="1:5">
      <c r="A13" t="s">
        <v>110</v>
      </c>
    </row>
    <row r="14" spans="1:5">
      <c r="A14" t="s">
        <v>111</v>
      </c>
    </row>
    <row r="15" spans="1:5">
      <c r="A15" t="s">
        <v>112</v>
      </c>
    </row>
    <row r="16" spans="1:5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D326-F624-4EF4-942E-0E378F1E3952}">
  <sheetPr codeName="Tabelle17">
    <tabColor rgb="FF00B0F0"/>
    <pageSetUpPr fitToPage="1"/>
  </sheetPr>
  <dimension ref="A1:AD55"/>
  <sheetViews>
    <sheetView showGridLines="0" showRowColHeaders="0" zoomScale="150" zoomScaleNormal="150" workbookViewId="0">
      <selection activeCell="N21" sqref="N21"/>
    </sheetView>
  </sheetViews>
  <sheetFormatPr baseColWidth="10" defaultColWidth="10.7109375" defaultRowHeight="15"/>
  <cols>
    <col min="1" max="1" width="5.7109375" style="102" customWidth="1"/>
    <col min="2" max="2" width="1.42578125" style="102" customWidth="1"/>
    <col min="3" max="3" width="5.7109375" style="102" customWidth="1"/>
    <col min="4" max="4" width="7.85546875" style="102" customWidth="1"/>
    <col min="5" max="5" width="1.42578125" style="102" customWidth="1"/>
    <col min="6" max="6" width="10.7109375" style="102"/>
    <col min="7" max="7" width="1.42578125" style="102" customWidth="1"/>
    <col min="8" max="8" width="10.7109375" style="102"/>
    <col min="9" max="9" width="2.85546875" style="102" customWidth="1"/>
    <col min="10" max="10" width="1.42578125" style="102" customWidth="1"/>
    <col min="11" max="11" width="2.85546875" style="102" customWidth="1"/>
    <col min="12" max="12" width="1.42578125" style="102" customWidth="1"/>
    <col min="13" max="13" width="5.7109375" style="102" customWidth="1"/>
    <col min="14" max="14" width="7.85546875" style="102" customWidth="1"/>
    <col min="15" max="15" width="1.28515625" style="102" customWidth="1"/>
    <col min="16" max="17" width="10.7109375" style="102"/>
    <col min="18" max="18" width="2.85546875" style="102" customWidth="1"/>
    <col min="19" max="19" width="1.42578125" style="102" customWidth="1"/>
    <col min="20" max="20" width="2.85546875" style="102" customWidth="1"/>
    <col min="21" max="21" width="6.28515625" style="102" customWidth="1"/>
    <col min="22" max="22" width="2.5703125" style="102" customWidth="1"/>
    <col min="23" max="23" width="1.42578125" style="102" customWidth="1"/>
    <col min="24" max="25" width="11.5703125" style="102" customWidth="1"/>
    <col min="26" max="26" width="1.42578125" style="102" customWidth="1"/>
    <col min="27" max="28" width="10.7109375" style="102"/>
    <col min="29" max="30" width="10.7109375" style="102" customWidth="1"/>
    <col min="31" max="16384" width="10.7109375" style="102"/>
  </cols>
  <sheetData>
    <row r="1" spans="1:30" ht="23.25" customHeight="1">
      <c r="A1" s="780" t="s">
        <v>255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79"/>
      <c r="P1" s="779"/>
      <c r="Q1" s="779"/>
      <c r="R1" s="779"/>
      <c r="S1" s="779"/>
      <c r="T1" s="779"/>
      <c r="U1" s="743"/>
      <c r="V1" s="182"/>
      <c r="W1" s="164"/>
      <c r="X1" s="382" t="s">
        <v>208</v>
      </c>
      <c r="Y1" s="382"/>
      <c r="Z1" s="167"/>
      <c r="AC1" s="2"/>
      <c r="AD1" s="2"/>
    </row>
    <row r="2" spans="1:30" ht="12.75" customHeight="1">
      <c r="A2" s="780"/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79"/>
      <c r="P2" s="779"/>
      <c r="Q2" s="779"/>
      <c r="R2" s="779"/>
      <c r="S2" s="779"/>
      <c r="T2" s="779"/>
      <c r="U2" s="743"/>
      <c r="V2" s="182"/>
      <c r="W2" s="165"/>
      <c r="X2" s="162"/>
      <c r="Y2" s="162"/>
      <c r="Z2" s="168"/>
      <c r="AA2" s="145"/>
    </row>
    <row r="3" spans="1:30" ht="18" customHeight="1">
      <c r="A3" s="748" t="s">
        <v>88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79"/>
      <c r="P3" s="779"/>
      <c r="Q3" s="779"/>
      <c r="R3" s="779"/>
      <c r="S3" s="779"/>
      <c r="T3" s="779"/>
      <c r="U3" s="743"/>
      <c r="V3" s="182"/>
      <c r="W3" s="165"/>
      <c r="X3" s="162"/>
      <c r="Y3" s="162"/>
      <c r="Z3" s="168"/>
      <c r="AA3" s="145"/>
    </row>
    <row r="4" spans="1:30" ht="15.75" thickBot="1">
      <c r="A4" s="743"/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182"/>
      <c r="W4" s="166"/>
      <c r="X4" s="163"/>
      <c r="Y4" s="163"/>
      <c r="Z4" s="169"/>
      <c r="AA4" s="145"/>
    </row>
    <row r="5" spans="1:30" ht="15.75" thickBot="1">
      <c r="A5" s="743"/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  <c r="S5" s="743"/>
      <c r="T5" s="743"/>
      <c r="U5" s="743"/>
      <c r="V5" s="182"/>
      <c r="AA5" s="145"/>
    </row>
    <row r="6" spans="1:30" ht="15.75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182"/>
      <c r="W6" s="164"/>
      <c r="X6" s="382" t="s">
        <v>269</v>
      </c>
      <c r="Y6" s="382"/>
      <c r="Z6" s="167"/>
      <c r="AA6" s="145"/>
    </row>
    <row r="7" spans="1:30">
      <c r="A7" s="743"/>
      <c r="B7" s="743"/>
      <c r="C7" s="743"/>
      <c r="D7" s="743"/>
      <c r="E7" s="743"/>
      <c r="F7" s="743"/>
      <c r="G7" s="743"/>
      <c r="H7" s="743"/>
      <c r="I7" s="743"/>
      <c r="J7" s="743"/>
      <c r="K7" s="743"/>
      <c r="L7" s="743"/>
      <c r="M7" s="743"/>
      <c r="N7" s="743"/>
      <c r="O7" s="743"/>
      <c r="P7" s="743"/>
      <c r="Q7" s="743"/>
      <c r="R7" s="743"/>
      <c r="S7" s="743"/>
      <c r="T7" s="743"/>
      <c r="U7" s="743"/>
      <c r="V7" s="183"/>
      <c r="W7" s="165"/>
      <c r="X7" s="162"/>
      <c r="Y7" s="162"/>
      <c r="Z7" s="168"/>
      <c r="AA7" s="145"/>
    </row>
    <row r="8" spans="1:30" ht="17.25" customHeight="1">
      <c r="A8" s="743"/>
      <c r="B8" s="750" t="str">
        <f>IF(Spielbericht!D13="","",Spielbericht!D13)</f>
        <v>a-Heim</v>
      </c>
      <c r="C8" s="750"/>
      <c r="D8" s="750"/>
      <c r="E8" s="750"/>
      <c r="F8" s="750"/>
      <c r="G8" s="743"/>
      <c r="H8" s="745" t="str">
        <f ca="1">IF(Spielbericht!I9="","",Spielbericht!I9)</f>
        <v>AB</v>
      </c>
      <c r="I8" s="745"/>
      <c r="J8" s="743"/>
      <c r="K8" s="182"/>
      <c r="L8" s="745" t="str">
        <f>IF(Spielbericht!H13="","",Spielbericht!H13)</f>
        <v/>
      </c>
      <c r="M8" s="745"/>
      <c r="N8" s="745"/>
      <c r="O8" s="743"/>
      <c r="P8" s="746" t="s">
        <v>213</v>
      </c>
      <c r="Q8" s="746"/>
      <c r="R8" s="746"/>
      <c r="S8" s="746"/>
      <c r="T8" s="746"/>
      <c r="U8" s="744">
        <f ca="1">YEAR(TODAY())</f>
        <v>2024</v>
      </c>
      <c r="V8" s="210"/>
      <c r="W8" s="165"/>
      <c r="X8" s="162"/>
      <c r="Y8" s="162"/>
      <c r="Z8" s="168"/>
    </row>
    <row r="9" spans="1:30" ht="18" customHeight="1" thickBot="1">
      <c r="A9" s="743"/>
      <c r="B9" s="751" t="s">
        <v>89</v>
      </c>
      <c r="C9" s="751"/>
      <c r="D9" s="751"/>
      <c r="E9" s="751"/>
      <c r="F9" s="751"/>
      <c r="G9" s="743"/>
      <c r="H9" s="741" t="s">
        <v>138</v>
      </c>
      <c r="I9" s="741"/>
      <c r="J9" s="743"/>
      <c r="K9" s="182"/>
      <c r="L9" s="741" t="s">
        <v>90</v>
      </c>
      <c r="M9" s="741"/>
      <c r="N9" s="741"/>
      <c r="O9" s="743"/>
      <c r="P9" s="746"/>
      <c r="Q9" s="746"/>
      <c r="R9" s="746"/>
      <c r="S9" s="746"/>
      <c r="T9" s="746"/>
      <c r="U9" s="744"/>
      <c r="V9" s="210"/>
      <c r="W9" s="166"/>
      <c r="X9" s="163"/>
      <c r="Y9" s="163"/>
      <c r="Z9" s="169"/>
    </row>
    <row r="10" spans="1:30" ht="20.25">
      <c r="A10" s="743"/>
      <c r="B10" s="752" t="str">
        <f ca="1">IF(Spielbericht!D9="","",Spielbericht!D9)</f>
        <v>a-Team 1</v>
      </c>
      <c r="C10" s="752"/>
      <c r="D10" s="752"/>
      <c r="E10" s="752"/>
      <c r="F10" s="752"/>
      <c r="G10" s="774" t="s">
        <v>91</v>
      </c>
      <c r="H10" s="774"/>
      <c r="I10" s="775" t="str">
        <f ca="1">IF(Spielbericht!D11="","",Spielbericht!D11)</f>
        <v>b-Team 2</v>
      </c>
      <c r="J10" s="775"/>
      <c r="K10" s="775"/>
      <c r="L10" s="775"/>
      <c r="M10" s="775"/>
      <c r="N10" s="775"/>
      <c r="O10" s="743"/>
      <c r="P10" s="150" t="s">
        <v>214</v>
      </c>
      <c r="Q10" s="772" t="str">
        <f>IF(Spielbericht!I15="","",Spielbericht!I15)</f>
        <v/>
      </c>
      <c r="R10" s="772"/>
      <c r="S10" s="772"/>
      <c r="T10" s="772"/>
      <c r="U10" s="744"/>
      <c r="V10" s="210"/>
    </row>
    <row r="11" spans="1:30" ht="21.75" customHeight="1" thickBot="1">
      <c r="A11" s="743"/>
      <c r="B11" s="751" t="s">
        <v>92</v>
      </c>
      <c r="C11" s="751"/>
      <c r="D11" s="751"/>
      <c r="E11" s="751"/>
      <c r="F11" s="751"/>
      <c r="G11" s="768"/>
      <c r="H11" s="768"/>
      <c r="I11" s="776" t="s">
        <v>93</v>
      </c>
      <c r="J11" s="776"/>
      <c r="K11" s="776"/>
      <c r="L11" s="776"/>
      <c r="M11" s="776"/>
      <c r="N11" s="776"/>
      <c r="O11" s="743"/>
      <c r="P11" s="777"/>
      <c r="Q11" s="777"/>
      <c r="R11" s="777"/>
      <c r="S11" s="777"/>
      <c r="T11" s="777"/>
      <c r="U11" s="744"/>
      <c r="V11" s="210"/>
      <c r="X11" s="249" t="s">
        <v>272</v>
      </c>
      <c r="Y11" s="251" t="s">
        <v>348</v>
      </c>
    </row>
    <row r="12" spans="1:30" ht="11.25" customHeight="1" thickBot="1">
      <c r="A12" s="743"/>
      <c r="B12" s="189" t="str">
        <f>IF(Setup!$B$8="Meisterschaft","X","")</f>
        <v>X</v>
      </c>
      <c r="C12" s="749" t="s">
        <v>250</v>
      </c>
      <c r="D12" s="749"/>
      <c r="E12" s="189" t="str">
        <f>IF(Setup!$B$8="Pokal","X","")</f>
        <v/>
      </c>
      <c r="F12" s="187" t="s">
        <v>252</v>
      </c>
      <c r="G12" s="189" t="str">
        <f>IF(Setup!$B$8="Turnier","X","")</f>
        <v/>
      </c>
      <c r="H12" s="187" t="s">
        <v>253</v>
      </c>
      <c r="J12" s="189" t="str">
        <f>IF(OR(Setup!$B$8="Freundschaft",Setup!$B$8="Sonstiges"),"X","")</f>
        <v/>
      </c>
      <c r="K12" s="770" t="s">
        <v>254</v>
      </c>
      <c r="L12" s="771"/>
      <c r="M12" s="771"/>
      <c r="N12" s="771"/>
      <c r="O12" s="743"/>
      <c r="P12" s="777"/>
      <c r="Q12" s="777"/>
      <c r="R12" s="777"/>
      <c r="S12" s="777"/>
      <c r="T12" s="777"/>
      <c r="U12" s="744"/>
      <c r="V12" s="210"/>
    </row>
    <row r="13" spans="1:30" ht="6.75" customHeight="1">
      <c r="A13" s="743"/>
      <c r="B13" s="182"/>
      <c r="C13" s="743"/>
      <c r="D13" s="743"/>
      <c r="E13" s="743"/>
      <c r="F13" s="743"/>
      <c r="G13" s="743"/>
      <c r="H13" s="743"/>
      <c r="I13" s="743"/>
      <c r="J13" s="743"/>
      <c r="K13" s="743"/>
      <c r="L13" s="743"/>
      <c r="M13" s="743"/>
      <c r="N13" s="743"/>
      <c r="O13" s="743"/>
      <c r="P13" s="743"/>
      <c r="Q13" s="743"/>
      <c r="R13" s="743"/>
      <c r="S13" s="743"/>
      <c r="T13" s="743"/>
      <c r="U13" s="743"/>
      <c r="V13" s="183"/>
    </row>
    <row r="14" spans="1:30" ht="18.75">
      <c r="A14" s="743"/>
      <c r="B14" s="182"/>
      <c r="C14" s="781"/>
      <c r="D14" s="781"/>
      <c r="E14" s="781"/>
      <c r="F14" s="781"/>
      <c r="G14" s="773" t="s">
        <v>209</v>
      </c>
      <c r="H14" s="773"/>
      <c r="I14" s="773"/>
      <c r="J14" s="773"/>
      <c r="K14" s="773"/>
      <c r="L14" s="773"/>
      <c r="M14" s="186"/>
      <c r="N14" s="781"/>
      <c r="O14" s="781"/>
      <c r="P14" s="773" t="s">
        <v>210</v>
      </c>
      <c r="Q14" s="773"/>
      <c r="R14" s="773"/>
      <c r="S14" s="773"/>
      <c r="T14" s="773"/>
      <c r="U14" s="743"/>
      <c r="V14" s="183"/>
    </row>
    <row r="15" spans="1:30" ht="15.75">
      <c r="A15" s="743"/>
      <c r="B15" s="182"/>
      <c r="C15" s="763" t="s">
        <v>211</v>
      </c>
      <c r="D15" s="763"/>
      <c r="E15" s="763"/>
      <c r="F15" s="763"/>
      <c r="G15" s="778"/>
      <c r="H15" s="778"/>
      <c r="I15" s="778"/>
      <c r="J15" s="778"/>
      <c r="K15" s="778"/>
      <c r="L15" s="778"/>
      <c r="M15" s="188"/>
      <c r="N15" s="782"/>
      <c r="O15" s="782"/>
      <c r="P15" s="778"/>
      <c r="Q15" s="778"/>
      <c r="R15" s="778"/>
      <c r="S15" s="778"/>
      <c r="T15" s="778"/>
      <c r="U15" s="743"/>
      <c r="V15" s="183"/>
    </row>
    <row r="16" spans="1:30" ht="8.25" customHeight="1">
      <c r="A16" s="743"/>
      <c r="B16" s="182"/>
      <c r="C16" s="749" t="s">
        <v>212</v>
      </c>
      <c r="D16" s="749"/>
      <c r="E16" s="749"/>
      <c r="F16" s="749"/>
      <c r="G16" s="749"/>
      <c r="H16" s="749"/>
      <c r="I16" s="749"/>
      <c r="J16" s="749"/>
      <c r="K16" s="749"/>
      <c r="L16" s="749"/>
      <c r="M16" s="749"/>
      <c r="N16" s="749"/>
      <c r="O16" s="749"/>
      <c r="P16" s="749"/>
      <c r="Q16" s="749"/>
      <c r="R16" s="749"/>
      <c r="S16" s="749"/>
      <c r="T16" s="749"/>
      <c r="U16" s="743"/>
      <c r="V16" s="182"/>
    </row>
    <row r="17" spans="1:27">
      <c r="A17" s="743"/>
      <c r="B17" s="182"/>
      <c r="C17" s="756"/>
      <c r="D17" s="756"/>
      <c r="E17" s="756"/>
      <c r="F17" s="756"/>
      <c r="G17" s="756"/>
      <c r="H17" s="756"/>
      <c r="I17" s="756"/>
      <c r="J17" s="756"/>
      <c r="K17" s="756"/>
      <c r="L17" s="756"/>
      <c r="M17" s="756"/>
      <c r="N17" s="756"/>
      <c r="O17" s="756"/>
      <c r="P17" s="756"/>
      <c r="Q17" s="756"/>
      <c r="R17" s="756"/>
      <c r="S17" s="756"/>
      <c r="T17" s="756"/>
      <c r="U17" s="743"/>
      <c r="V17" s="182"/>
    </row>
    <row r="18" spans="1:27" ht="15.75">
      <c r="A18" s="743"/>
      <c r="B18" s="182"/>
      <c r="C18" s="763" t="s">
        <v>215</v>
      </c>
      <c r="D18" s="763"/>
      <c r="E18" s="763"/>
      <c r="F18" s="763"/>
      <c r="G18" s="763"/>
      <c r="H18" s="763"/>
      <c r="I18" s="763"/>
      <c r="J18" s="763"/>
      <c r="K18" s="763"/>
      <c r="L18" s="763"/>
      <c r="M18" s="763"/>
      <c r="N18" s="763"/>
      <c r="O18" s="763"/>
      <c r="P18" s="763"/>
      <c r="Q18" s="763"/>
      <c r="R18" s="763"/>
      <c r="S18" s="763"/>
      <c r="T18" s="763"/>
      <c r="U18" s="743"/>
      <c r="V18" s="182"/>
    </row>
    <row r="19" spans="1:27" ht="11.25" customHeight="1">
      <c r="A19" s="743"/>
      <c r="B19" s="182"/>
      <c r="C19" s="756"/>
      <c r="D19" s="732" t="s">
        <v>216</v>
      </c>
      <c r="E19" s="732"/>
      <c r="F19" s="732" t="s">
        <v>217</v>
      </c>
      <c r="G19" s="732"/>
      <c r="H19" s="732"/>
      <c r="I19" s="753"/>
      <c r="J19" s="753"/>
      <c r="K19" s="753"/>
      <c r="L19" s="732"/>
      <c r="M19" s="732"/>
      <c r="N19" s="732" t="s">
        <v>216</v>
      </c>
      <c r="O19" s="732" t="s">
        <v>217</v>
      </c>
      <c r="P19" s="732"/>
      <c r="Q19" s="732"/>
      <c r="R19" s="753"/>
      <c r="S19" s="753"/>
      <c r="T19" s="753"/>
      <c r="U19" s="743"/>
      <c r="V19" s="182"/>
      <c r="AA19" s="151"/>
    </row>
    <row r="20" spans="1:27">
      <c r="A20" s="743"/>
      <c r="B20" s="182"/>
      <c r="C20" s="757"/>
      <c r="D20" s="711"/>
      <c r="E20" s="711"/>
      <c r="F20" s="711"/>
      <c r="G20" s="711"/>
      <c r="H20" s="711"/>
      <c r="I20" s="753"/>
      <c r="J20" s="753"/>
      <c r="K20" s="753"/>
      <c r="L20" s="732"/>
      <c r="M20" s="711"/>
      <c r="N20" s="711"/>
      <c r="O20" s="711"/>
      <c r="P20" s="711"/>
      <c r="Q20" s="711"/>
      <c r="R20" s="753"/>
      <c r="S20" s="753"/>
      <c r="T20" s="753"/>
      <c r="U20" s="743"/>
      <c r="V20" s="182"/>
    </row>
    <row r="21" spans="1:27">
      <c r="A21" s="743"/>
      <c r="B21" s="182"/>
      <c r="C21" s="152">
        <v>1</v>
      </c>
      <c r="D21" s="764">
        <v>3</v>
      </c>
      <c r="E21" s="765"/>
      <c r="F21" s="758" t="str">
        <f>IF(D21="","",VLOOKUP(D21,Club1!$A$8:$E$25,3,FALSE)&amp;", "&amp;VLOOKUP(D21,Club1!$A$8:$E$25,4,FALSE))</f>
        <v>A, c</v>
      </c>
      <c r="G21" s="761"/>
      <c r="H21" s="759"/>
      <c r="I21" s="753"/>
      <c r="J21" s="753"/>
      <c r="K21" s="753"/>
      <c r="L21" s="732"/>
      <c r="M21" s="154">
        <v>1</v>
      </c>
      <c r="N21" s="211">
        <v>3</v>
      </c>
      <c r="O21" s="758" t="str">
        <f>IF(N21="","",VLOOKUP(N21,Club2!$A$8:$E$25,3,FALSE)&amp;", "&amp;VLOOKUP(N21,Club2!$A$8:$E$25,4,FALSE))</f>
        <v>B, c</v>
      </c>
      <c r="P21" s="761"/>
      <c r="Q21" s="759"/>
      <c r="R21" s="753"/>
      <c r="S21" s="753"/>
      <c r="T21" s="753"/>
      <c r="U21" s="743"/>
      <c r="V21" s="182"/>
    </row>
    <row r="22" spans="1:27">
      <c r="A22" s="743"/>
      <c r="B22" s="182"/>
      <c r="C22" s="721"/>
      <c r="D22" s="721"/>
      <c r="E22" s="721"/>
      <c r="F22" s="721"/>
      <c r="G22" s="721"/>
      <c r="H22" s="721"/>
      <c r="I22" s="721"/>
      <c r="J22" s="721"/>
      <c r="K22" s="721"/>
      <c r="L22" s="721"/>
      <c r="M22" s="721"/>
      <c r="N22" s="721"/>
      <c r="O22" s="721"/>
      <c r="P22" s="721"/>
      <c r="Q22" s="721"/>
      <c r="R22" s="721"/>
      <c r="S22" s="721"/>
      <c r="T22" s="721"/>
      <c r="U22" s="743"/>
      <c r="V22" s="182"/>
    </row>
    <row r="23" spans="1:27" ht="15.75">
      <c r="A23" s="743"/>
      <c r="B23" s="182"/>
      <c r="C23" s="763" t="s">
        <v>221</v>
      </c>
      <c r="D23" s="763"/>
      <c r="E23" s="763"/>
      <c r="F23" s="763"/>
      <c r="G23" s="763"/>
      <c r="H23" s="763"/>
      <c r="I23" s="763"/>
      <c r="J23" s="763"/>
      <c r="K23" s="763"/>
      <c r="L23" s="763"/>
      <c r="M23" s="763"/>
      <c r="N23" s="763"/>
      <c r="O23" s="763"/>
      <c r="P23" s="763"/>
      <c r="Q23" s="763"/>
      <c r="R23" s="763"/>
      <c r="S23" s="763"/>
      <c r="T23" s="763"/>
      <c r="U23" s="743"/>
      <c r="V23" s="182"/>
    </row>
    <row r="24" spans="1:27">
      <c r="A24" s="743"/>
      <c r="B24" s="182"/>
      <c r="C24" s="756"/>
      <c r="D24" s="732" t="s">
        <v>216</v>
      </c>
      <c r="E24" s="184"/>
      <c r="F24" s="732" t="s">
        <v>217</v>
      </c>
      <c r="G24" s="732"/>
      <c r="H24" s="732"/>
      <c r="I24" s="753" t="s">
        <v>220</v>
      </c>
      <c r="J24" s="753"/>
      <c r="K24" s="753"/>
      <c r="L24" s="732"/>
      <c r="M24" s="732"/>
      <c r="N24" s="732" t="s">
        <v>216</v>
      </c>
      <c r="O24" s="732" t="s">
        <v>217</v>
      </c>
      <c r="P24" s="732"/>
      <c r="Q24" s="732"/>
      <c r="R24" s="753" t="s">
        <v>220</v>
      </c>
      <c r="S24" s="753"/>
      <c r="T24" s="753"/>
      <c r="U24" s="743"/>
      <c r="V24" s="182"/>
    </row>
    <row r="25" spans="1:27">
      <c r="A25" s="743"/>
      <c r="B25" s="182"/>
      <c r="C25" s="757"/>
      <c r="D25" s="711"/>
      <c r="E25" s="185"/>
      <c r="F25" s="711"/>
      <c r="G25" s="711"/>
      <c r="H25" s="711"/>
      <c r="I25" s="153" t="s">
        <v>218</v>
      </c>
      <c r="J25" s="756"/>
      <c r="K25" s="153" t="s">
        <v>219</v>
      </c>
      <c r="L25" s="732"/>
      <c r="M25" s="711"/>
      <c r="N25" s="711"/>
      <c r="O25" s="711"/>
      <c r="P25" s="711"/>
      <c r="Q25" s="711"/>
      <c r="R25" s="153" t="s">
        <v>218</v>
      </c>
      <c r="S25" s="756"/>
      <c r="T25" s="153" t="s">
        <v>219</v>
      </c>
      <c r="U25" s="743"/>
      <c r="V25" s="182"/>
    </row>
    <row r="26" spans="1:27">
      <c r="A26" s="743"/>
      <c r="B26" s="182"/>
      <c r="C26" s="152">
        <v>1</v>
      </c>
      <c r="D26" s="764"/>
      <c r="E26" s="765"/>
      <c r="F26" s="758" t="str">
        <f>IF(D26="","",VLOOKUP(D26,Club1!$A$8:$E$25,3,FALSE)&amp;", "&amp;VLOOKUP(D26,Club1!$A$8:$E$25,4,FALSE))</f>
        <v/>
      </c>
      <c r="G26" s="761"/>
      <c r="H26" s="759"/>
      <c r="I26" s="151"/>
      <c r="J26" s="756"/>
      <c r="K26" s="151"/>
      <c r="L26" s="732"/>
      <c r="M26" s="154">
        <v>1</v>
      </c>
      <c r="N26" s="211"/>
      <c r="O26" s="758" t="str">
        <f>IF(N26="","",VLOOKUP(N26,Club2!$A$8:$E$25,3,FALSE)&amp;", "&amp;VLOOKUP(N26,Club2!$A$8:$E$25,4,FALSE))</f>
        <v/>
      </c>
      <c r="P26" s="761"/>
      <c r="Q26" s="759"/>
      <c r="R26" s="151"/>
      <c r="S26" s="756"/>
      <c r="T26" s="151"/>
      <c r="U26" s="743"/>
      <c r="V26" s="182"/>
    </row>
    <row r="27" spans="1:27">
      <c r="A27" s="743"/>
      <c r="B27" s="182"/>
      <c r="C27" s="152">
        <v>2</v>
      </c>
      <c r="D27" s="764"/>
      <c r="E27" s="765"/>
      <c r="F27" s="758" t="str">
        <f>IF(D27="","",VLOOKUP(D27,Club1!$A$8:$E$25,3,FALSE)&amp;", "&amp;VLOOKUP(D27,Club1!$A$8:$E$25,4,FALSE))</f>
        <v/>
      </c>
      <c r="G27" s="761"/>
      <c r="H27" s="759"/>
      <c r="I27" s="151"/>
      <c r="J27" s="756"/>
      <c r="K27" s="151"/>
      <c r="L27" s="732"/>
      <c r="M27" s="154">
        <v>2</v>
      </c>
      <c r="N27" s="211"/>
      <c r="O27" s="758" t="str">
        <f>IF(N27="","",VLOOKUP(N27,Club2!$A$8:$E$25,3,FALSE)&amp;", "&amp;VLOOKUP(N27,Club2!$A$8:$E$25,4,FALSE))</f>
        <v/>
      </c>
      <c r="P27" s="761"/>
      <c r="Q27" s="759"/>
      <c r="R27" s="151"/>
      <c r="S27" s="756"/>
      <c r="T27" s="151"/>
      <c r="U27" s="743"/>
      <c r="V27" s="182"/>
    </row>
    <row r="28" spans="1:27">
      <c r="A28" s="743"/>
      <c r="B28" s="182"/>
      <c r="C28" s="152">
        <v>3</v>
      </c>
      <c r="D28" s="764"/>
      <c r="E28" s="765"/>
      <c r="F28" s="758" t="str">
        <f>IF(D28="","",VLOOKUP(D28,Club1!$A$8:$E$25,3,FALSE)&amp;", "&amp;VLOOKUP(D28,Club1!$A$8:$E$25,4,FALSE))</f>
        <v/>
      </c>
      <c r="G28" s="761"/>
      <c r="H28" s="759"/>
      <c r="I28" s="151"/>
      <c r="J28" s="756"/>
      <c r="K28" s="151"/>
      <c r="L28" s="732"/>
      <c r="M28" s="154">
        <v>3</v>
      </c>
      <c r="N28" s="211"/>
      <c r="O28" s="758" t="str">
        <f>IF(N28="","",VLOOKUP(N28,Club2!$A$8:$E$25,3,FALSE)&amp;", "&amp;VLOOKUP(N28,Club2!$A$8:$E$25,4,FALSE))</f>
        <v/>
      </c>
      <c r="P28" s="761"/>
      <c r="Q28" s="759"/>
      <c r="R28" s="151"/>
      <c r="S28" s="756"/>
      <c r="T28" s="151"/>
      <c r="U28" s="743"/>
      <c r="V28" s="182"/>
    </row>
    <row r="29" spans="1:27">
      <c r="A29" s="743"/>
      <c r="B29" s="182"/>
      <c r="C29" s="754"/>
      <c r="D29" s="754"/>
      <c r="E29" s="754"/>
      <c r="F29" s="754"/>
      <c r="G29" s="754"/>
      <c r="H29" s="754"/>
      <c r="I29" s="754"/>
      <c r="J29" s="754"/>
      <c r="K29" s="754"/>
      <c r="L29" s="754"/>
      <c r="M29" s="754"/>
      <c r="N29" s="754"/>
      <c r="O29" s="754"/>
      <c r="P29" s="754"/>
      <c r="Q29" s="754"/>
      <c r="R29" s="754"/>
      <c r="S29" s="754"/>
      <c r="T29" s="754"/>
      <c r="U29" s="743"/>
      <c r="V29" s="182"/>
    </row>
    <row r="30" spans="1:27" ht="15.75">
      <c r="A30" s="743"/>
      <c r="B30" s="182"/>
      <c r="C30" s="763" t="s">
        <v>222</v>
      </c>
      <c r="D30" s="763"/>
      <c r="E30" s="763"/>
      <c r="F30" s="763"/>
      <c r="G30" s="763"/>
      <c r="H30" s="763"/>
      <c r="I30" s="763"/>
      <c r="J30" s="763"/>
      <c r="K30" s="763"/>
      <c r="L30" s="763"/>
      <c r="M30" s="763"/>
      <c r="N30" s="763"/>
      <c r="O30" s="763"/>
      <c r="P30" s="763"/>
      <c r="Q30" s="763"/>
      <c r="R30" s="763"/>
      <c r="S30" s="763"/>
      <c r="T30" s="763"/>
      <c r="U30" s="743"/>
      <c r="V30" s="182"/>
    </row>
    <row r="31" spans="1:27">
      <c r="A31" s="743"/>
      <c r="B31" s="182"/>
      <c r="C31" s="756"/>
      <c r="D31" s="732" t="s">
        <v>216</v>
      </c>
      <c r="E31" s="732"/>
      <c r="F31" s="732" t="s">
        <v>217</v>
      </c>
      <c r="G31" s="732"/>
      <c r="H31" s="732"/>
      <c r="I31" s="753" t="s">
        <v>220</v>
      </c>
      <c r="J31" s="753"/>
      <c r="K31" s="753"/>
      <c r="L31" s="732"/>
      <c r="M31" s="732"/>
      <c r="N31" s="732" t="s">
        <v>216</v>
      </c>
      <c r="O31" s="732" t="s">
        <v>217</v>
      </c>
      <c r="P31" s="732"/>
      <c r="Q31" s="732"/>
      <c r="R31" s="753" t="s">
        <v>220</v>
      </c>
      <c r="S31" s="753"/>
      <c r="T31" s="753"/>
      <c r="U31" s="743"/>
      <c r="V31" s="182"/>
    </row>
    <row r="32" spans="1:27">
      <c r="A32" s="743"/>
      <c r="B32" s="182"/>
      <c r="C32" s="757"/>
      <c r="D32" s="711"/>
      <c r="E32" s="711"/>
      <c r="F32" s="711"/>
      <c r="G32" s="711"/>
      <c r="H32" s="711"/>
      <c r="I32" s="153" t="s">
        <v>218</v>
      </c>
      <c r="J32" s="756"/>
      <c r="K32" s="153" t="s">
        <v>219</v>
      </c>
      <c r="L32" s="732"/>
      <c r="M32" s="711"/>
      <c r="N32" s="711"/>
      <c r="O32" s="711"/>
      <c r="P32" s="711"/>
      <c r="Q32" s="711"/>
      <c r="R32" s="153" t="s">
        <v>218</v>
      </c>
      <c r="S32" s="756"/>
      <c r="T32" s="153" t="s">
        <v>219</v>
      </c>
      <c r="U32" s="743"/>
      <c r="V32" s="182"/>
    </row>
    <row r="33" spans="1:22">
      <c r="A33" s="743"/>
      <c r="B33" s="182"/>
      <c r="C33" s="152">
        <v>4</v>
      </c>
      <c r="D33" s="764"/>
      <c r="E33" s="765"/>
      <c r="F33" s="758" t="str">
        <f>IF(D33="","",VLOOKUP(D33,Club1!$A$8:$E$25,3,FALSE)&amp;", "&amp;VLOOKUP(D33,Club1!$A$8:$E$25,4,FALSE))</f>
        <v/>
      </c>
      <c r="G33" s="761"/>
      <c r="H33" s="759"/>
      <c r="I33" s="151"/>
      <c r="J33" s="756"/>
      <c r="K33" s="151"/>
      <c r="L33" s="732"/>
      <c r="M33" s="154">
        <v>4</v>
      </c>
      <c r="N33" s="211"/>
      <c r="O33" s="758" t="str">
        <f>IF(N33="","",VLOOKUP(N33,Club2!$A$8:$E$25,3,FALSE)&amp;", "&amp;VLOOKUP(N33,Club2!$A$8:$E$25,4,FALSE))</f>
        <v/>
      </c>
      <c r="P33" s="761"/>
      <c r="Q33" s="759"/>
      <c r="R33" s="151"/>
      <c r="S33" s="756"/>
      <c r="T33" s="151"/>
      <c r="U33" s="743"/>
      <c r="V33" s="182"/>
    </row>
    <row r="34" spans="1:22">
      <c r="A34" s="743"/>
      <c r="B34" s="182"/>
      <c r="C34" s="152">
        <v>5</v>
      </c>
      <c r="D34" s="764"/>
      <c r="E34" s="765"/>
      <c r="F34" s="758" t="str">
        <f>IF(D34="","",VLOOKUP(D34,Club1!$A$8:$E$25,3,FALSE)&amp;", "&amp;VLOOKUP(D34,Club1!$A$8:$E$25,4,FALSE))</f>
        <v/>
      </c>
      <c r="G34" s="761"/>
      <c r="H34" s="759"/>
      <c r="I34" s="151"/>
      <c r="J34" s="756"/>
      <c r="K34" s="151"/>
      <c r="L34" s="732"/>
      <c r="M34" s="154">
        <v>5</v>
      </c>
      <c r="N34" s="211"/>
      <c r="O34" s="758" t="str">
        <f>IF(N34="","",VLOOKUP(N34,Club2!$A$8:$E$25,3,FALSE)&amp;", "&amp;VLOOKUP(N34,Club2!$A$8:$E$25,4,FALSE))</f>
        <v/>
      </c>
      <c r="P34" s="761"/>
      <c r="Q34" s="759"/>
      <c r="R34" s="151"/>
      <c r="S34" s="756"/>
      <c r="T34" s="151"/>
      <c r="U34" s="743"/>
      <c r="V34" s="182"/>
    </row>
    <row r="35" spans="1:22">
      <c r="A35" s="743"/>
      <c r="B35" s="182"/>
      <c r="C35" s="760" t="s">
        <v>224</v>
      </c>
      <c r="D35" s="760"/>
      <c r="E35" s="760"/>
      <c r="F35" s="760"/>
      <c r="G35" s="760"/>
      <c r="H35" s="760"/>
      <c r="I35" s="760"/>
      <c r="J35" s="760"/>
      <c r="K35" s="760"/>
      <c r="L35" s="760"/>
      <c r="M35" s="760"/>
      <c r="N35" s="760"/>
      <c r="O35" s="760"/>
      <c r="P35" s="760"/>
      <c r="Q35" s="760"/>
      <c r="R35" s="760"/>
      <c r="S35" s="760"/>
      <c r="T35" s="760"/>
      <c r="U35" s="743"/>
      <c r="V35" s="182"/>
    </row>
    <row r="36" spans="1:22">
      <c r="A36" s="743"/>
      <c r="B36" s="182"/>
      <c r="C36" s="754"/>
      <c r="D36" s="754"/>
      <c r="E36" s="754"/>
      <c r="F36" s="754"/>
      <c r="G36" s="754"/>
      <c r="H36" s="754"/>
      <c r="I36" s="754"/>
      <c r="J36" s="754"/>
      <c r="K36" s="754"/>
      <c r="L36" s="754"/>
      <c r="M36" s="754"/>
      <c r="N36" s="754"/>
      <c r="O36" s="754"/>
      <c r="P36" s="754"/>
      <c r="Q36" s="754"/>
      <c r="R36" s="754"/>
      <c r="S36" s="754"/>
      <c r="T36" s="754"/>
      <c r="U36" s="743"/>
      <c r="V36" s="182"/>
    </row>
    <row r="37" spans="1:22">
      <c r="A37" s="743"/>
      <c r="B37" s="182"/>
      <c r="C37" s="756"/>
      <c r="D37" s="732" t="s">
        <v>216</v>
      </c>
      <c r="E37" s="732"/>
      <c r="F37" s="732" t="s">
        <v>217</v>
      </c>
      <c r="G37" s="732"/>
      <c r="H37" s="732"/>
      <c r="I37" s="753" t="s">
        <v>220</v>
      </c>
      <c r="J37" s="753"/>
      <c r="K37" s="753"/>
      <c r="L37" s="732"/>
      <c r="M37" s="732"/>
      <c r="N37" s="732" t="s">
        <v>216</v>
      </c>
      <c r="O37" s="732" t="s">
        <v>217</v>
      </c>
      <c r="P37" s="732"/>
      <c r="Q37" s="732"/>
      <c r="R37" s="753" t="s">
        <v>220</v>
      </c>
      <c r="S37" s="753"/>
      <c r="T37" s="753"/>
      <c r="U37" s="743"/>
      <c r="V37" s="182"/>
    </row>
    <row r="38" spans="1:22">
      <c r="A38" s="743"/>
      <c r="B38" s="182"/>
      <c r="C38" s="757"/>
      <c r="D38" s="711"/>
      <c r="E38" s="711"/>
      <c r="F38" s="711"/>
      <c r="G38" s="711"/>
      <c r="H38" s="711"/>
      <c r="I38" s="153" t="s">
        <v>218</v>
      </c>
      <c r="J38" s="756"/>
      <c r="K38" s="153" t="s">
        <v>219</v>
      </c>
      <c r="L38" s="732"/>
      <c r="M38" s="711"/>
      <c r="N38" s="711"/>
      <c r="O38" s="711"/>
      <c r="P38" s="711"/>
      <c r="Q38" s="711"/>
      <c r="R38" s="153" t="s">
        <v>218</v>
      </c>
      <c r="S38" s="756"/>
      <c r="T38" s="153" t="s">
        <v>219</v>
      </c>
      <c r="U38" s="743"/>
      <c r="V38" s="182"/>
    </row>
    <row r="39" spans="1:22">
      <c r="A39" s="743"/>
      <c r="B39" s="182"/>
      <c r="C39" s="152">
        <v>1</v>
      </c>
      <c r="D39" s="758" t="str">
        <f>IF(D26="","",D26)</f>
        <v/>
      </c>
      <c r="E39" s="759"/>
      <c r="F39" s="758" t="str">
        <f>IF(D39="","",VLOOKUP(D39,Club1!$A$8:$E$25,3,FALSE)&amp;", "&amp;VLOOKUP(D39,Club1!$A$8:$E$25,4,FALSE))</f>
        <v/>
      </c>
      <c r="G39" s="761"/>
      <c r="H39" s="759"/>
      <c r="I39" s="151"/>
      <c r="J39" s="756"/>
      <c r="K39" s="151"/>
      <c r="L39" s="732"/>
      <c r="M39" s="154">
        <v>1</v>
      </c>
      <c r="N39" s="154" t="str">
        <f>IF(N26="","",N26)</f>
        <v/>
      </c>
      <c r="O39" s="758" t="str">
        <f>IF(N39="","",VLOOKUP(N39,Club2!$A$8:$E$25,3,FALSE)&amp;", "&amp;VLOOKUP(N39,Club2!$A$8:$E$25,4,FALSE))</f>
        <v/>
      </c>
      <c r="P39" s="761"/>
      <c r="Q39" s="759"/>
      <c r="R39" s="151"/>
      <c r="S39" s="756"/>
      <c r="T39" s="151"/>
      <c r="U39" s="743"/>
      <c r="V39" s="182"/>
    </row>
    <row r="40" spans="1:22">
      <c r="A40" s="743"/>
      <c r="B40" s="182"/>
      <c r="C40" s="152">
        <v>2</v>
      </c>
      <c r="D40" s="758" t="str">
        <f>IF(D27="","",D27)</f>
        <v/>
      </c>
      <c r="E40" s="759"/>
      <c r="F40" s="758" t="str">
        <f>IF(D40="","",VLOOKUP(D40,Club1!$A$8:$E$25,3,FALSE)&amp;", "&amp;VLOOKUP(D40,Club1!$A$8:$E$25,4,FALSE))</f>
        <v/>
      </c>
      <c r="G40" s="761"/>
      <c r="H40" s="759"/>
      <c r="I40" s="151"/>
      <c r="J40" s="756"/>
      <c r="K40" s="151"/>
      <c r="L40" s="732"/>
      <c r="M40" s="154">
        <v>2</v>
      </c>
      <c r="N40" s="154" t="str">
        <f>IF(N27="","",N27)</f>
        <v/>
      </c>
      <c r="O40" s="758" t="str">
        <f>IF(N40="","",VLOOKUP(N40,Club2!$A$8:$E$25,3,FALSE)&amp;", "&amp;VLOOKUP(N40,Club2!$A$8:$E$25,4,FALSE))</f>
        <v/>
      </c>
      <c r="P40" s="761"/>
      <c r="Q40" s="759"/>
      <c r="R40" s="151"/>
      <c r="S40" s="756"/>
      <c r="T40" s="151"/>
      <c r="U40" s="743"/>
      <c r="V40" s="182"/>
    </row>
    <row r="41" spans="1:22">
      <c r="A41" s="743"/>
      <c r="B41" s="182"/>
      <c r="C41" s="152">
        <v>3</v>
      </c>
      <c r="D41" s="758" t="str">
        <f>IF(D28="","",D28)</f>
        <v/>
      </c>
      <c r="E41" s="759"/>
      <c r="F41" s="758" t="str">
        <f>IF(D41="","",VLOOKUP(D41,Club1!$A$8:$E$25,3,FALSE)&amp;", "&amp;VLOOKUP(D41,Club1!$A$8:$E$25,4,FALSE))</f>
        <v/>
      </c>
      <c r="G41" s="761"/>
      <c r="H41" s="759"/>
      <c r="I41" s="151"/>
      <c r="J41" s="756"/>
      <c r="K41" s="151"/>
      <c r="L41" s="732"/>
      <c r="M41" s="154">
        <v>3</v>
      </c>
      <c r="N41" s="154" t="str">
        <f>IF(N28="","",N28)</f>
        <v/>
      </c>
      <c r="O41" s="758" t="str">
        <f>IF(N41="","",VLOOKUP(N41,Club2!$A$8:$E$25,3,FALSE)&amp;", "&amp;VLOOKUP(N41,Club2!$A$8:$E$25,4,FALSE))</f>
        <v/>
      </c>
      <c r="P41" s="761"/>
      <c r="Q41" s="759"/>
      <c r="R41" s="151"/>
      <c r="S41" s="756"/>
      <c r="T41" s="151"/>
      <c r="U41" s="743"/>
      <c r="V41" s="182"/>
    </row>
    <row r="42" spans="1:22">
      <c r="A42" s="743"/>
      <c r="B42" s="182"/>
      <c r="C42" s="152">
        <v>4</v>
      </c>
      <c r="D42" s="758" t="str">
        <f>IF(D33="","",D33)</f>
        <v/>
      </c>
      <c r="E42" s="759"/>
      <c r="F42" s="758" t="str">
        <f>IF(D42="","",VLOOKUP(D42,Club1!$A$8:$E$25,3,FALSE)&amp;", "&amp;VLOOKUP(D42,Club1!$A$8:$E$25,4,FALSE))</f>
        <v/>
      </c>
      <c r="G42" s="761"/>
      <c r="H42" s="759"/>
      <c r="I42" s="151"/>
      <c r="J42" s="756"/>
      <c r="K42" s="151"/>
      <c r="L42" s="732"/>
      <c r="M42" s="154">
        <v>4</v>
      </c>
      <c r="N42" s="154" t="str">
        <f>IF(N33="","",N33)</f>
        <v/>
      </c>
      <c r="O42" s="758" t="str">
        <f>IF(N42="","",VLOOKUP(N42,Club2!$A$8:$E$25,3,FALSE)&amp;", "&amp;VLOOKUP(N42,Club2!$A$8:$E$25,4,FALSE))</f>
        <v/>
      </c>
      <c r="P42" s="761"/>
      <c r="Q42" s="759"/>
      <c r="R42" s="151"/>
      <c r="S42" s="756"/>
      <c r="T42" s="151"/>
      <c r="U42" s="743"/>
      <c r="V42" s="182"/>
    </row>
    <row r="43" spans="1:22">
      <c r="A43" s="743"/>
      <c r="B43" s="182"/>
      <c r="C43" s="152">
        <v>5</v>
      </c>
      <c r="D43" s="758" t="str">
        <f>IF(D34="","",D34)</f>
        <v/>
      </c>
      <c r="E43" s="759"/>
      <c r="F43" s="758" t="str">
        <f>IF(D43="","",VLOOKUP(D43,Club1!$A$8:$E$25,3,FALSE)&amp;", "&amp;VLOOKUP(D43,Club1!$A$8:$E$25,4,FALSE))</f>
        <v/>
      </c>
      <c r="G43" s="761"/>
      <c r="H43" s="759"/>
      <c r="I43" s="151"/>
      <c r="J43" s="756"/>
      <c r="K43" s="151"/>
      <c r="L43" s="732"/>
      <c r="M43" s="154">
        <v>5</v>
      </c>
      <c r="N43" s="154" t="str">
        <f>IF(N34="","",N34)</f>
        <v/>
      </c>
      <c r="O43" s="758" t="str">
        <f>IF(N43="","",VLOOKUP(N43,Club2!$A$8:$E$25,3,FALSE)&amp;", "&amp;VLOOKUP(N43,Club2!$A$8:$E$25,4,FALSE))</f>
        <v/>
      </c>
      <c r="P43" s="761"/>
      <c r="Q43" s="759"/>
      <c r="R43" s="151"/>
      <c r="S43" s="756"/>
      <c r="T43" s="151"/>
      <c r="U43" s="743"/>
      <c r="V43" s="182"/>
    </row>
    <row r="44" spans="1:22">
      <c r="A44" s="743"/>
      <c r="B44" s="182"/>
      <c r="C44" s="755" t="s">
        <v>225</v>
      </c>
      <c r="D44" s="755"/>
      <c r="E44" s="755"/>
      <c r="F44" s="755"/>
      <c r="G44" s="755"/>
      <c r="H44" s="755"/>
      <c r="I44" s="755"/>
      <c r="J44" s="755"/>
      <c r="K44" s="755"/>
      <c r="L44" s="755"/>
      <c r="M44" s="755"/>
      <c r="N44" s="755"/>
      <c r="O44" s="755"/>
      <c r="P44" s="755"/>
      <c r="Q44" s="755"/>
      <c r="R44" s="755"/>
      <c r="S44" s="755"/>
      <c r="T44" s="755"/>
      <c r="U44" s="743"/>
      <c r="V44" s="182"/>
    </row>
    <row r="45" spans="1:22">
      <c r="A45" s="743"/>
      <c r="B45" s="182"/>
      <c r="C45" s="755"/>
      <c r="D45" s="755"/>
      <c r="E45" s="755"/>
      <c r="F45" s="755"/>
      <c r="G45" s="755"/>
      <c r="H45" s="755"/>
      <c r="I45" s="755"/>
      <c r="J45" s="755"/>
      <c r="K45" s="755"/>
      <c r="L45" s="755"/>
      <c r="M45" s="755"/>
      <c r="N45" s="755"/>
      <c r="O45" s="755"/>
      <c r="P45" s="755"/>
      <c r="Q45" s="755"/>
      <c r="R45" s="755"/>
      <c r="S45" s="755"/>
      <c r="T45" s="755"/>
      <c r="U45" s="743"/>
      <c r="V45" s="182"/>
    </row>
    <row r="46" spans="1:22">
      <c r="A46" s="743"/>
      <c r="B46" s="182"/>
      <c r="C46" s="756"/>
      <c r="D46" s="756"/>
      <c r="E46" s="756"/>
      <c r="F46" s="756"/>
      <c r="G46" s="756"/>
      <c r="H46" s="756"/>
      <c r="I46" s="756"/>
      <c r="J46" s="756"/>
      <c r="K46" s="756"/>
      <c r="L46" s="756"/>
      <c r="M46" s="756"/>
      <c r="N46" s="756"/>
      <c r="O46" s="756"/>
      <c r="P46" s="756"/>
      <c r="Q46" s="756"/>
      <c r="R46" s="756"/>
      <c r="S46" s="756"/>
      <c r="T46" s="756"/>
      <c r="U46" s="743"/>
      <c r="V46" s="182"/>
    </row>
    <row r="47" spans="1:22" ht="15.75" customHeight="1">
      <c r="A47" s="743"/>
      <c r="B47" s="182"/>
      <c r="C47" s="783" t="s">
        <v>223</v>
      </c>
      <c r="D47" s="783"/>
      <c r="E47" s="769"/>
      <c r="F47" s="769"/>
      <c r="G47" s="769"/>
      <c r="H47" s="769"/>
      <c r="I47" s="769"/>
      <c r="J47" s="769"/>
      <c r="K47" s="769"/>
      <c r="L47" s="769"/>
      <c r="M47" s="769"/>
      <c r="N47" s="769"/>
      <c r="O47" s="769"/>
      <c r="P47" s="769"/>
      <c r="Q47" s="769"/>
      <c r="R47" s="769"/>
      <c r="S47" s="769"/>
      <c r="T47" s="769"/>
      <c r="U47" s="743"/>
      <c r="V47" s="182"/>
    </row>
    <row r="48" spans="1:22" ht="15.75" customHeight="1">
      <c r="A48" s="743"/>
      <c r="B48" s="182"/>
      <c r="C48" s="783"/>
      <c r="D48" s="783"/>
      <c r="E48" s="769"/>
      <c r="F48" s="769"/>
      <c r="G48" s="769"/>
      <c r="H48" s="769"/>
      <c r="I48" s="769"/>
      <c r="J48" s="769"/>
      <c r="K48" s="769"/>
      <c r="L48" s="769"/>
      <c r="M48" s="769"/>
      <c r="N48" s="769"/>
      <c r="O48" s="769"/>
      <c r="P48" s="769"/>
      <c r="Q48" s="769"/>
      <c r="R48" s="769"/>
      <c r="S48" s="769"/>
      <c r="T48" s="769"/>
      <c r="U48" s="743"/>
      <c r="V48" s="182"/>
    </row>
    <row r="49" spans="1:22" ht="15.75" customHeight="1">
      <c r="A49" s="743"/>
      <c r="B49" s="182"/>
      <c r="C49" s="783"/>
      <c r="D49" s="783"/>
      <c r="E49" s="769"/>
      <c r="F49" s="769"/>
      <c r="G49" s="769"/>
      <c r="H49" s="769"/>
      <c r="I49" s="769"/>
      <c r="J49" s="769"/>
      <c r="K49" s="769"/>
      <c r="L49" s="769"/>
      <c r="M49" s="769"/>
      <c r="N49" s="769"/>
      <c r="O49" s="769"/>
      <c r="P49" s="769"/>
      <c r="Q49" s="769"/>
      <c r="R49" s="769"/>
      <c r="S49" s="769"/>
      <c r="T49" s="769"/>
      <c r="U49" s="743"/>
      <c r="V49" s="182"/>
    </row>
    <row r="50" spans="1:22" ht="15.75" customHeight="1">
      <c r="A50" s="743"/>
      <c r="B50" s="182"/>
      <c r="C50" s="783"/>
      <c r="D50" s="783"/>
      <c r="E50" s="769"/>
      <c r="F50" s="769"/>
      <c r="G50" s="769"/>
      <c r="H50" s="769"/>
      <c r="I50" s="769"/>
      <c r="J50" s="769"/>
      <c r="K50" s="769"/>
      <c r="L50" s="769"/>
      <c r="M50" s="769"/>
      <c r="N50" s="769"/>
      <c r="O50" s="769"/>
      <c r="P50" s="769"/>
      <c r="Q50" s="769"/>
      <c r="R50" s="769"/>
      <c r="S50" s="769"/>
      <c r="T50" s="769"/>
      <c r="U50" s="743"/>
      <c r="V50" s="182"/>
    </row>
    <row r="51" spans="1:22">
      <c r="A51" s="743"/>
      <c r="B51" s="182"/>
      <c r="C51" s="743"/>
      <c r="D51" s="743"/>
      <c r="E51" s="743"/>
      <c r="F51" s="743"/>
      <c r="G51" s="743"/>
      <c r="H51" s="743"/>
      <c r="I51" s="743"/>
      <c r="J51" s="743"/>
      <c r="K51" s="743"/>
      <c r="L51" s="743"/>
      <c r="M51" s="743"/>
      <c r="N51" s="743"/>
      <c r="O51" s="743"/>
      <c r="P51" s="743"/>
      <c r="Q51" s="743"/>
      <c r="R51" s="743"/>
      <c r="S51" s="743"/>
      <c r="T51" s="743"/>
      <c r="U51" s="743"/>
      <c r="V51" s="182"/>
    </row>
    <row r="52" spans="1:22">
      <c r="A52" s="743"/>
      <c r="B52" s="182"/>
      <c r="C52" s="743"/>
      <c r="D52" s="743"/>
      <c r="E52" s="743"/>
      <c r="F52" s="743"/>
      <c r="G52" s="743"/>
      <c r="H52" s="767"/>
      <c r="I52" s="767"/>
      <c r="J52" s="767"/>
      <c r="K52" s="767"/>
      <c r="L52" s="767"/>
      <c r="M52" s="767"/>
      <c r="N52" s="767"/>
      <c r="O52" s="762"/>
      <c r="P52" s="721"/>
      <c r="Q52" s="721"/>
      <c r="R52" s="721"/>
      <c r="S52" s="721"/>
      <c r="T52" s="721"/>
      <c r="U52" s="743"/>
      <c r="V52" s="182"/>
    </row>
    <row r="53" spans="1:22">
      <c r="A53" s="743"/>
      <c r="B53" s="182"/>
      <c r="C53" s="743"/>
      <c r="D53" s="743"/>
      <c r="E53" s="743"/>
      <c r="F53" s="743"/>
      <c r="G53" s="743"/>
      <c r="H53" s="722"/>
      <c r="I53" s="722"/>
      <c r="J53" s="722"/>
      <c r="K53" s="722"/>
      <c r="L53" s="722"/>
      <c r="M53" s="722"/>
      <c r="N53" s="722"/>
      <c r="O53" s="762"/>
      <c r="P53" s="722"/>
      <c r="Q53" s="722"/>
      <c r="R53" s="722"/>
      <c r="S53" s="722"/>
      <c r="T53" s="722"/>
      <c r="U53" s="743"/>
      <c r="V53" s="182"/>
    </row>
    <row r="54" spans="1:22">
      <c r="A54" s="743"/>
      <c r="B54" s="182"/>
      <c r="C54" s="743"/>
      <c r="D54" s="743"/>
      <c r="E54" s="743"/>
      <c r="F54" s="743"/>
      <c r="G54" s="743"/>
      <c r="H54" s="766" t="s">
        <v>94</v>
      </c>
      <c r="I54" s="766"/>
      <c r="J54" s="766"/>
      <c r="K54" s="766"/>
      <c r="L54" s="766"/>
      <c r="M54" s="766"/>
      <c r="N54" s="766"/>
      <c r="O54" s="762"/>
      <c r="P54" s="766" t="s">
        <v>95</v>
      </c>
      <c r="Q54" s="766"/>
      <c r="R54" s="766"/>
      <c r="S54" s="766"/>
      <c r="T54" s="766"/>
      <c r="U54" s="743"/>
      <c r="V54" s="182"/>
    </row>
    <row r="55" spans="1:22">
      <c r="A55" s="743"/>
      <c r="B55" s="182"/>
      <c r="C55" s="743"/>
      <c r="D55" s="743"/>
      <c r="E55" s="743"/>
      <c r="F55" s="743"/>
      <c r="G55" s="743"/>
      <c r="H55" s="743"/>
      <c r="I55" s="743"/>
      <c r="J55" s="743"/>
      <c r="K55" s="743"/>
      <c r="L55" s="743"/>
      <c r="M55" s="743"/>
      <c r="N55" s="743"/>
      <c r="O55" s="743"/>
      <c r="P55" s="743"/>
      <c r="Q55" s="743"/>
      <c r="R55" s="743"/>
      <c r="S55" s="743"/>
      <c r="T55" s="743"/>
      <c r="U55" s="743"/>
      <c r="V55" s="182"/>
    </row>
  </sheetData>
  <sheetProtection password="E760" sheet="1" objects="1" scenarios="1" selectLockedCells="1"/>
  <mergeCells count="135">
    <mergeCell ref="C19:C20"/>
    <mergeCell ref="C17:T17"/>
    <mergeCell ref="X6:Y6"/>
    <mergeCell ref="C47:D50"/>
    <mergeCell ref="C36:T36"/>
    <mergeCell ref="M31:M32"/>
    <mergeCell ref="D40:E40"/>
    <mergeCell ref="J32:J34"/>
    <mergeCell ref="S32:S34"/>
    <mergeCell ref="O43:Q43"/>
    <mergeCell ref="R37:T37"/>
    <mergeCell ref="F39:H39"/>
    <mergeCell ref="O39:Q39"/>
    <mergeCell ref="F40:H40"/>
    <mergeCell ref="O40:Q40"/>
    <mergeCell ref="S38:S43"/>
    <mergeCell ref="F43:H43"/>
    <mergeCell ref="B11:F11"/>
    <mergeCell ref="B9:F9"/>
    <mergeCell ref="B8:F8"/>
    <mergeCell ref="F42:H42"/>
    <mergeCell ref="O42:Q42"/>
    <mergeCell ref="C13:T13"/>
    <mergeCell ref="F21:H21"/>
    <mergeCell ref="X1:Y1"/>
    <mergeCell ref="U8:U12"/>
    <mergeCell ref="L19:L21"/>
    <mergeCell ref="J25:J28"/>
    <mergeCell ref="L24:L28"/>
    <mergeCell ref="S25:S28"/>
    <mergeCell ref="I19:K21"/>
    <mergeCell ref="R19:T21"/>
    <mergeCell ref="U1:U7"/>
    <mergeCell ref="O1:T3"/>
    <mergeCell ref="A1:N2"/>
    <mergeCell ref="A3:N3"/>
    <mergeCell ref="H8:I8"/>
    <mergeCell ref="L8:N8"/>
    <mergeCell ref="A4:A55"/>
    <mergeCell ref="B4:T7"/>
    <mergeCell ref="D41:E41"/>
    <mergeCell ref="D42:E42"/>
    <mergeCell ref="C14:F14"/>
    <mergeCell ref="N14:O14"/>
    <mergeCell ref="N15:O15"/>
    <mergeCell ref="O21:Q21"/>
    <mergeCell ref="N19:N20"/>
    <mergeCell ref="C12:D12"/>
    <mergeCell ref="E47:T50"/>
    <mergeCell ref="D19:E20"/>
    <mergeCell ref="D21:E21"/>
    <mergeCell ref="C31:C32"/>
    <mergeCell ref="F31:H32"/>
    <mergeCell ref="I31:K31"/>
    <mergeCell ref="L31:L34"/>
    <mergeCell ref="P8:T9"/>
    <mergeCell ref="B10:F10"/>
    <mergeCell ref="K12:N12"/>
    <mergeCell ref="H9:I9"/>
    <mergeCell ref="L9:N9"/>
    <mergeCell ref="Q10:T10"/>
    <mergeCell ref="C18:T18"/>
    <mergeCell ref="P14:T14"/>
    <mergeCell ref="G14:L14"/>
    <mergeCell ref="G10:H10"/>
    <mergeCell ref="I10:N10"/>
    <mergeCell ref="I11:N11"/>
    <mergeCell ref="P11:T12"/>
    <mergeCell ref="G15:L15"/>
    <mergeCell ref="P15:T15"/>
    <mergeCell ref="C15:F15"/>
    <mergeCell ref="C16:T16"/>
    <mergeCell ref="H52:N53"/>
    <mergeCell ref="H54:N54"/>
    <mergeCell ref="O31:Q32"/>
    <mergeCell ref="R31:T31"/>
    <mergeCell ref="F33:H33"/>
    <mergeCell ref="D31:E32"/>
    <mergeCell ref="D37:E38"/>
    <mergeCell ref="J8:J9"/>
    <mergeCell ref="O8:O12"/>
    <mergeCell ref="G8:G9"/>
    <mergeCell ref="G11:H11"/>
    <mergeCell ref="P52:T53"/>
    <mergeCell ref="M37:M38"/>
    <mergeCell ref="N37:N38"/>
    <mergeCell ref="F34:H34"/>
    <mergeCell ref="O34:Q34"/>
    <mergeCell ref="O33:Q33"/>
    <mergeCell ref="O19:Q20"/>
    <mergeCell ref="F19:H20"/>
    <mergeCell ref="M19:M20"/>
    <mergeCell ref="C22:T22"/>
    <mergeCell ref="O41:Q41"/>
    <mergeCell ref="O24:Q25"/>
    <mergeCell ref="O37:Q38"/>
    <mergeCell ref="U13:U55"/>
    <mergeCell ref="C55:T55"/>
    <mergeCell ref="C52:G54"/>
    <mergeCell ref="C51:T51"/>
    <mergeCell ref="O52:O54"/>
    <mergeCell ref="C46:T46"/>
    <mergeCell ref="J38:J43"/>
    <mergeCell ref="C30:T30"/>
    <mergeCell ref="F26:H26"/>
    <mergeCell ref="O26:Q26"/>
    <mergeCell ref="F27:H27"/>
    <mergeCell ref="O27:Q27"/>
    <mergeCell ref="F28:H28"/>
    <mergeCell ref="O28:Q28"/>
    <mergeCell ref="C23:T23"/>
    <mergeCell ref="C24:C25"/>
    <mergeCell ref="N31:N32"/>
    <mergeCell ref="D26:E26"/>
    <mergeCell ref="D27:E27"/>
    <mergeCell ref="D28:E28"/>
    <mergeCell ref="D33:E33"/>
    <mergeCell ref="D34:E34"/>
    <mergeCell ref="D39:E39"/>
    <mergeCell ref="P54:T54"/>
    <mergeCell ref="D24:D25"/>
    <mergeCell ref="F24:H25"/>
    <mergeCell ref="I24:K24"/>
    <mergeCell ref="M24:M25"/>
    <mergeCell ref="R24:T24"/>
    <mergeCell ref="C29:T29"/>
    <mergeCell ref="C44:T45"/>
    <mergeCell ref="C37:C38"/>
    <mergeCell ref="F37:H38"/>
    <mergeCell ref="I37:K37"/>
    <mergeCell ref="N24:N25"/>
    <mergeCell ref="L37:L43"/>
    <mergeCell ref="D43:E43"/>
    <mergeCell ref="C35:T35"/>
    <mergeCell ref="F41:H41"/>
  </mergeCells>
  <conditionalFormatting sqref="B12:C12">
    <cfRule type="containsErrors" dxfId="23" priority="2">
      <formula>ISERROR(B12)</formula>
    </cfRule>
  </conditionalFormatting>
  <conditionalFormatting sqref="E12">
    <cfRule type="containsErrors" dxfId="22" priority="1">
      <formula>ISERROR(E12)</formula>
    </cfRule>
  </conditionalFormatting>
  <pageMargins left="3.937007874015748E-2" right="3.937007874015748E-2" top="0.3543307086614173" bottom="0.15748031496062992" header="0.11811023622047244" footer="0.19685039370078741"/>
  <pageSetup paperSize="9" scale="98" orientation="portrait" horizontalDpi="360" verticalDpi="360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89" r:id="rId4" name="Option Button 45">
              <controlPr defaultSize="0" autoFill="0" autoLine="0" autoPict="0">
                <anchor moveWithCells="1">
                  <from>
                    <xdr:col>7</xdr:col>
                    <xdr:colOff>485775</xdr:colOff>
                    <xdr:row>13</xdr:row>
                    <xdr:rowOff>228600</xdr:rowOff>
                  </from>
                  <to>
                    <xdr:col>8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0" r:id="rId5" name="Option Button 46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228600</xdr:rowOff>
                  </from>
                  <to>
                    <xdr:col>16</xdr:col>
                    <xdr:colOff>361950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1" r:id="rId6" name="Group Box 47">
              <controlPr defaultSize="0" print="0" autoFill="0" autoPict="0">
                <anchor moveWithCells="1">
                  <from>
                    <xdr:col>0</xdr:col>
                    <xdr:colOff>371475</xdr:colOff>
                    <xdr:row>12</xdr:row>
                    <xdr:rowOff>76200</xdr:rowOff>
                  </from>
                  <to>
                    <xdr:col>20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3" r:id="rId7" name="Option Button 49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9525</xdr:rowOff>
                  </from>
                  <to>
                    <xdr:col>10</xdr:col>
                    <xdr:colOff>171450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4" r:id="rId8" name="Option Button 50">
              <controlPr defaultSize="0" autoFill="0" autoLine="0" autoPict="0">
                <anchor moveWithCells="1">
                  <from>
                    <xdr:col>7</xdr:col>
                    <xdr:colOff>704850</xdr:colOff>
                    <xdr:row>26</xdr:row>
                    <xdr:rowOff>9525</xdr:rowOff>
                  </from>
                  <to>
                    <xdr:col>9</xdr:col>
                    <xdr:colOff>19050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5" r:id="rId9" name="Option Button 51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9525</xdr:rowOff>
                  </from>
                  <to>
                    <xdr:col>10</xdr:col>
                    <xdr:colOff>171450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6" r:id="rId10" name="Option Button 52">
              <controlPr defaultSize="0" autoFill="0" autoLine="0" autoPict="0">
                <anchor moveWithCells="1">
                  <from>
                    <xdr:col>7</xdr:col>
                    <xdr:colOff>704850</xdr:colOff>
                    <xdr:row>27</xdr:row>
                    <xdr:rowOff>9525</xdr:rowOff>
                  </from>
                  <to>
                    <xdr:col>9</xdr:col>
                    <xdr:colOff>19050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7" r:id="rId11" name="Option Button 53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9525</xdr:rowOff>
                  </from>
                  <to>
                    <xdr:col>10</xdr:col>
                    <xdr:colOff>171450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9" r:id="rId12" name="Group Box 55">
              <controlPr defaultSize="0" print="0" autoFill="0" autoPict="0">
                <anchor moveWithCells="1">
                  <from>
                    <xdr:col>7</xdr:col>
                    <xdr:colOff>657225</xdr:colOff>
                    <xdr:row>25</xdr:row>
                    <xdr:rowOff>190500</xdr:rowOff>
                  </from>
                  <to>
                    <xdr:col>11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0" r:id="rId13" name="Group Box 56">
              <controlPr defaultSize="0" print="0" autoFill="0" autoPict="0">
                <anchor moveWithCells="1">
                  <from>
                    <xdr:col>7</xdr:col>
                    <xdr:colOff>657225</xdr:colOff>
                    <xdr:row>27</xdr:row>
                    <xdr:rowOff>9525</xdr:rowOff>
                  </from>
                  <to>
                    <xdr:col>11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1" r:id="rId14" name="Option Button 57">
              <controlPr defaultSize="0" autoFill="0" autoLine="0" autoPict="0">
                <anchor moveWithCells="1">
                  <from>
                    <xdr:col>16</xdr:col>
                    <xdr:colOff>704850</xdr:colOff>
                    <xdr:row>25</xdr:row>
                    <xdr:rowOff>9525</xdr:rowOff>
                  </from>
                  <to>
                    <xdr:col>18</xdr:col>
                    <xdr:colOff>19050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2" r:id="rId15" name="Option Button 58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9525</xdr:rowOff>
                  </from>
                  <to>
                    <xdr:col>19</xdr:col>
                    <xdr:colOff>171450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3" r:id="rId16" name="Option Button 59">
              <controlPr defaultSize="0" autoFill="0" autoLine="0" autoPict="0">
                <anchor moveWithCells="1">
                  <from>
                    <xdr:col>16</xdr:col>
                    <xdr:colOff>704850</xdr:colOff>
                    <xdr:row>26</xdr:row>
                    <xdr:rowOff>9525</xdr:rowOff>
                  </from>
                  <to>
                    <xdr:col>18</xdr:col>
                    <xdr:colOff>19050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4" r:id="rId17" name="Option Button 60">
              <controlPr defaultSize="0" autoFill="0" autoLine="0" autoPict="0">
                <anchor moveWithCells="1">
                  <from>
                    <xdr:col>18</xdr:col>
                    <xdr:colOff>85725</xdr:colOff>
                    <xdr:row>26</xdr:row>
                    <xdr:rowOff>9525</xdr:rowOff>
                  </from>
                  <to>
                    <xdr:col>19</xdr:col>
                    <xdr:colOff>171450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5" r:id="rId18" name="Option Button 61">
              <controlPr defaultSize="0" autoFill="0" autoLine="0" autoPict="0">
                <anchor moveWithCells="1">
                  <from>
                    <xdr:col>16</xdr:col>
                    <xdr:colOff>704850</xdr:colOff>
                    <xdr:row>27</xdr:row>
                    <xdr:rowOff>9525</xdr:rowOff>
                  </from>
                  <to>
                    <xdr:col>18</xdr:col>
                    <xdr:colOff>19050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6" r:id="rId19" name="Option Button 62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9525</xdr:rowOff>
                  </from>
                  <to>
                    <xdr:col>19</xdr:col>
                    <xdr:colOff>171450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7" r:id="rId20" name="Group Box 63">
              <controlPr defaultSize="0" print="0" autoFill="0" autoPict="0">
                <anchor moveWithCells="1">
                  <from>
                    <xdr:col>16</xdr:col>
                    <xdr:colOff>657225</xdr:colOff>
                    <xdr:row>24</xdr:row>
                    <xdr:rowOff>180975</xdr:rowOff>
                  </from>
                  <to>
                    <xdr:col>20</xdr:col>
                    <xdr:colOff>38100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8" r:id="rId21" name="Group Box 64">
              <controlPr defaultSize="0" print="0" autoFill="0" autoPict="0">
                <anchor moveWithCells="1">
                  <from>
                    <xdr:col>16</xdr:col>
                    <xdr:colOff>657225</xdr:colOff>
                    <xdr:row>26</xdr:row>
                    <xdr:rowOff>0</xdr:rowOff>
                  </from>
                  <to>
                    <xdr:col>20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9" r:id="rId22" name="Group Box 65">
              <controlPr defaultSize="0" print="0" autoFill="0" autoPict="0">
                <anchor moveWithCells="1">
                  <from>
                    <xdr:col>16</xdr:col>
                    <xdr:colOff>657225</xdr:colOff>
                    <xdr:row>27</xdr:row>
                    <xdr:rowOff>9525</xdr:rowOff>
                  </from>
                  <to>
                    <xdr:col>20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0" r:id="rId23" name="Option Button 66">
              <controlPr defaultSize="0" autoFill="0" autoLine="0" autoPict="0">
                <anchor moveWithCells="1">
                  <from>
                    <xdr:col>16</xdr:col>
                    <xdr:colOff>704850</xdr:colOff>
                    <xdr:row>31</xdr:row>
                    <xdr:rowOff>190500</xdr:rowOff>
                  </from>
                  <to>
                    <xdr:col>18</xdr:col>
                    <xdr:colOff>19050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1" r:id="rId24" name="Option Button 67">
              <controlPr defaultSize="0" autoFill="0" autoLine="0" autoPict="0">
                <anchor moveWithCells="1">
                  <from>
                    <xdr:col>18</xdr:col>
                    <xdr:colOff>85725</xdr:colOff>
                    <xdr:row>31</xdr:row>
                    <xdr:rowOff>190500</xdr:rowOff>
                  </from>
                  <to>
                    <xdr:col>19</xdr:col>
                    <xdr:colOff>171450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3" r:id="rId25" name="Option Button 69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190500</xdr:rowOff>
                  </from>
                  <to>
                    <xdr:col>19</xdr:col>
                    <xdr:colOff>171450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4" r:id="rId26" name="Group Box 70">
              <controlPr defaultSize="0" print="0" autoFill="0" autoPict="0">
                <anchor moveWithCells="1">
                  <from>
                    <xdr:col>16</xdr:col>
                    <xdr:colOff>657225</xdr:colOff>
                    <xdr:row>31</xdr:row>
                    <xdr:rowOff>180975</xdr:rowOff>
                  </from>
                  <to>
                    <xdr:col>20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6" r:id="rId27" name="Option Button 72">
              <controlPr defaultSize="0" autoFill="0" autoLine="0" autoPict="0">
                <anchor moveWithCells="1">
                  <from>
                    <xdr:col>7</xdr:col>
                    <xdr:colOff>704850</xdr:colOff>
                    <xdr:row>32</xdr:row>
                    <xdr:rowOff>9525</xdr:rowOff>
                  </from>
                  <to>
                    <xdr:col>9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7" r:id="rId28" name="Option Button 73">
              <controlPr defaultSize="0" autoFill="0" autoLine="0" autoPict="0">
                <anchor moveWithCells="1">
                  <from>
                    <xdr:col>9</xdr:col>
                    <xdr:colOff>85725</xdr:colOff>
                    <xdr:row>32</xdr:row>
                    <xdr:rowOff>9525</xdr:rowOff>
                  </from>
                  <to>
                    <xdr:col>10</xdr:col>
                    <xdr:colOff>171450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8" r:id="rId29" name="Option Button 74">
              <controlPr defaultSize="0" autoFill="0" autoLine="0" autoPict="0">
                <anchor moveWithCells="1">
                  <from>
                    <xdr:col>7</xdr:col>
                    <xdr:colOff>704850</xdr:colOff>
                    <xdr:row>33</xdr:row>
                    <xdr:rowOff>9525</xdr:rowOff>
                  </from>
                  <to>
                    <xdr:col>9</xdr:col>
                    <xdr:colOff>19050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9" r:id="rId30" name="Option Button 75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9525</xdr:rowOff>
                  </from>
                  <to>
                    <xdr:col>10</xdr:col>
                    <xdr:colOff>171450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20" r:id="rId31" name="Group Box 76">
              <controlPr defaultSize="0" print="0" autoFill="0" autoPict="0">
                <anchor moveWithCells="1">
                  <from>
                    <xdr:col>7</xdr:col>
                    <xdr:colOff>657225</xdr:colOff>
                    <xdr:row>31</xdr:row>
                    <xdr:rowOff>190500</xdr:rowOff>
                  </from>
                  <to>
                    <xdr:col>11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21" r:id="rId32" name="Group Box 77">
              <controlPr defaultSize="0" print="0" autoFill="0" autoPict="0">
                <anchor moveWithCells="1">
                  <from>
                    <xdr:col>7</xdr:col>
                    <xdr:colOff>657225</xdr:colOff>
                    <xdr:row>33</xdr:row>
                    <xdr:rowOff>9525</xdr:rowOff>
                  </from>
                  <to>
                    <xdr:col>11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0" r:id="rId33" name="Option Button 96">
              <controlPr defaultSize="0" autoFill="0" autoLine="0" autoPict="0">
                <anchor moveWithCells="1">
                  <from>
                    <xdr:col>16</xdr:col>
                    <xdr:colOff>695325</xdr:colOff>
                    <xdr:row>38</xdr:row>
                    <xdr:rowOff>0</xdr:rowOff>
                  </from>
                  <to>
                    <xdr:col>18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1" r:id="rId34" name="Option Button 97">
              <controlPr defaultSize="0" autoFill="0" autoLine="0" autoPict="0">
                <anchor moveWithCells="1">
                  <from>
                    <xdr:col>18</xdr:col>
                    <xdr:colOff>76200</xdr:colOff>
                    <xdr:row>38</xdr:row>
                    <xdr:rowOff>0</xdr:rowOff>
                  </from>
                  <to>
                    <xdr:col>19</xdr:col>
                    <xdr:colOff>161925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2" r:id="rId35" name="Option Button 98">
              <controlPr defaultSize="0" autoFill="0" autoLine="0" autoPict="0">
                <anchor moveWithCells="1">
                  <from>
                    <xdr:col>16</xdr:col>
                    <xdr:colOff>695325</xdr:colOff>
                    <xdr:row>39</xdr:row>
                    <xdr:rowOff>0</xdr:rowOff>
                  </from>
                  <to>
                    <xdr:col>18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3" r:id="rId36" name="Option Button 99">
              <controlPr defaultSize="0" autoFill="0" autoLine="0" autoPict="0">
                <anchor moveWithCells="1">
                  <from>
                    <xdr:col>18</xdr:col>
                    <xdr:colOff>76200</xdr:colOff>
                    <xdr:row>39</xdr:row>
                    <xdr:rowOff>0</xdr:rowOff>
                  </from>
                  <to>
                    <xdr:col>19</xdr:col>
                    <xdr:colOff>161925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4" r:id="rId37" name="Group Box 100">
              <controlPr defaultSize="0" print="0" autoFill="0" autoPict="0">
                <anchor moveWithCells="1">
                  <from>
                    <xdr:col>16</xdr:col>
                    <xdr:colOff>647700</xdr:colOff>
                    <xdr:row>37</xdr:row>
                    <xdr:rowOff>180975</xdr:rowOff>
                  </from>
                  <to>
                    <xdr:col>20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5" r:id="rId38" name="Group Box 101">
              <controlPr defaultSize="0" print="0" autoFill="0" autoPict="0">
                <anchor moveWithCells="1">
                  <from>
                    <xdr:col>16</xdr:col>
                    <xdr:colOff>647700</xdr:colOff>
                    <xdr:row>39</xdr:row>
                    <xdr:rowOff>0</xdr:rowOff>
                  </from>
                  <to>
                    <xdr:col>20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6" r:id="rId39" name="Option Button 102">
              <controlPr defaultSize="0" autoFill="0" autoLine="0" autoPict="0">
                <anchor moveWithCells="1">
                  <from>
                    <xdr:col>16</xdr:col>
                    <xdr:colOff>695325</xdr:colOff>
                    <xdr:row>40</xdr:row>
                    <xdr:rowOff>0</xdr:rowOff>
                  </from>
                  <to>
                    <xdr:col>18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7" r:id="rId40" name="Option Button 103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0</xdr:rowOff>
                  </from>
                  <to>
                    <xdr:col>19</xdr:col>
                    <xdr:colOff>161925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8" r:id="rId41" name="Option Button 104">
              <controlPr defaultSize="0" autoFill="0" autoLine="0" autoPict="0">
                <anchor moveWithCells="1">
                  <from>
                    <xdr:col>16</xdr:col>
                    <xdr:colOff>695325</xdr:colOff>
                    <xdr:row>41</xdr:row>
                    <xdr:rowOff>0</xdr:rowOff>
                  </from>
                  <to>
                    <xdr:col>18</xdr:col>
                    <xdr:colOff>9525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9" r:id="rId42" name="Option Button 105">
              <controlPr defaultSize="0" autoFill="0" autoLine="0" autoPict="0">
                <anchor moveWithCells="1">
                  <from>
                    <xdr:col>18</xdr:col>
                    <xdr:colOff>76200</xdr:colOff>
                    <xdr:row>41</xdr:row>
                    <xdr:rowOff>0</xdr:rowOff>
                  </from>
                  <to>
                    <xdr:col>19</xdr:col>
                    <xdr:colOff>161925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0" r:id="rId43" name="Group Box 106">
              <controlPr defaultSize="0" print="0" autoFill="0" autoPict="0">
                <anchor moveWithCells="1">
                  <from>
                    <xdr:col>16</xdr:col>
                    <xdr:colOff>647700</xdr:colOff>
                    <xdr:row>39</xdr:row>
                    <xdr:rowOff>180975</xdr:rowOff>
                  </from>
                  <to>
                    <xdr:col>20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1" r:id="rId44" name="Group Box 107">
              <controlPr defaultSize="0" print="0" autoFill="0" autoPict="0">
                <anchor moveWithCells="1">
                  <from>
                    <xdr:col>16</xdr:col>
                    <xdr:colOff>647700</xdr:colOff>
                    <xdr:row>41</xdr:row>
                    <xdr:rowOff>0</xdr:rowOff>
                  </from>
                  <to>
                    <xdr:col>20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2" r:id="rId45" name="Option Button 108">
              <controlPr defaultSize="0" autoFill="0" autoLine="0" autoPict="0">
                <anchor moveWithCells="1">
                  <from>
                    <xdr:col>16</xdr:col>
                    <xdr:colOff>695325</xdr:colOff>
                    <xdr:row>42</xdr:row>
                    <xdr:rowOff>9525</xdr:rowOff>
                  </from>
                  <to>
                    <xdr:col>18</xdr:col>
                    <xdr:colOff>9525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3" r:id="rId46" name="Option Button 109">
              <controlPr defaultSize="0" autoFill="0" autoLine="0" autoPict="0">
                <anchor moveWithCells="1">
                  <from>
                    <xdr:col>18</xdr:col>
                    <xdr:colOff>76200</xdr:colOff>
                    <xdr:row>42</xdr:row>
                    <xdr:rowOff>9525</xdr:rowOff>
                  </from>
                  <to>
                    <xdr:col>19</xdr:col>
                    <xdr:colOff>161925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4" r:id="rId47" name="Group Box 110">
              <controlPr defaultSize="0" print="0" autoFill="0" autoPict="0">
                <anchor moveWithCells="1">
                  <from>
                    <xdr:col>16</xdr:col>
                    <xdr:colOff>647700</xdr:colOff>
                    <xdr:row>42</xdr:row>
                    <xdr:rowOff>0</xdr:rowOff>
                  </from>
                  <to>
                    <xdr:col>20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5" r:id="rId48" name="Option Button 111">
              <controlPr defaultSize="0" autoFill="0" autoLine="0" autoPict="0">
                <anchor moveWithCells="1">
                  <from>
                    <xdr:col>7</xdr:col>
                    <xdr:colOff>695325</xdr:colOff>
                    <xdr:row>38</xdr:row>
                    <xdr:rowOff>0</xdr:rowOff>
                  </from>
                  <to>
                    <xdr:col>9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6" r:id="rId49" name="Option Button 112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0</xdr:rowOff>
                  </from>
                  <to>
                    <xdr:col>10</xdr:col>
                    <xdr:colOff>161925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7" r:id="rId50" name="Option Button 113">
              <controlPr defaultSize="0" autoFill="0" autoLine="0" autoPict="0">
                <anchor moveWithCells="1">
                  <from>
                    <xdr:col>7</xdr:col>
                    <xdr:colOff>695325</xdr:colOff>
                    <xdr:row>39</xdr:row>
                    <xdr:rowOff>0</xdr:rowOff>
                  </from>
                  <to>
                    <xdr:col>9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8" r:id="rId51" name="Option Button 114">
              <controlPr defaultSize="0" autoFill="0" autoLine="0" autoPict="0">
                <anchor moveWithCells="1">
                  <from>
                    <xdr:col>9</xdr:col>
                    <xdr:colOff>76200</xdr:colOff>
                    <xdr:row>39</xdr:row>
                    <xdr:rowOff>0</xdr:rowOff>
                  </from>
                  <to>
                    <xdr:col>10</xdr:col>
                    <xdr:colOff>161925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9" r:id="rId52" name="Group Box 115">
              <controlPr defaultSize="0" print="0" autoFill="0" autoPict="0">
                <anchor moveWithCells="1">
                  <from>
                    <xdr:col>7</xdr:col>
                    <xdr:colOff>647700</xdr:colOff>
                    <xdr:row>37</xdr:row>
                    <xdr:rowOff>180975</xdr:rowOff>
                  </from>
                  <to>
                    <xdr:col>11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0" r:id="rId53" name="Group Box 116">
              <controlPr defaultSize="0" print="0" autoFill="0" autoPict="0">
                <anchor moveWithCells="1">
                  <from>
                    <xdr:col>7</xdr:col>
                    <xdr:colOff>647700</xdr:colOff>
                    <xdr:row>39</xdr:row>
                    <xdr:rowOff>0</xdr:rowOff>
                  </from>
                  <to>
                    <xdr:col>11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1" r:id="rId54" name="Option Button 117">
              <controlPr defaultSize="0" autoFill="0" autoLine="0" autoPict="0">
                <anchor moveWithCells="1">
                  <from>
                    <xdr:col>7</xdr:col>
                    <xdr:colOff>695325</xdr:colOff>
                    <xdr:row>40</xdr:row>
                    <xdr:rowOff>0</xdr:rowOff>
                  </from>
                  <to>
                    <xdr:col>9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2" r:id="rId55" name="Option Button 118">
              <controlPr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0</xdr:rowOff>
                  </from>
                  <to>
                    <xdr:col>10</xdr:col>
                    <xdr:colOff>161925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3" r:id="rId56" name="Option Button 119">
              <controlPr defaultSize="0" autoFill="0" autoLine="0" autoPict="0">
                <anchor moveWithCells="1">
                  <from>
                    <xdr:col>7</xdr:col>
                    <xdr:colOff>695325</xdr:colOff>
                    <xdr:row>41</xdr:row>
                    <xdr:rowOff>0</xdr:rowOff>
                  </from>
                  <to>
                    <xdr:col>9</xdr:col>
                    <xdr:colOff>9525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4" r:id="rId57" name="Option Button 120">
              <controlPr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0</xdr:rowOff>
                  </from>
                  <to>
                    <xdr:col>10</xdr:col>
                    <xdr:colOff>161925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5" r:id="rId58" name="Group Box 121">
              <controlPr defaultSize="0" print="0" autoFill="0" autoPict="0">
                <anchor moveWithCells="1">
                  <from>
                    <xdr:col>7</xdr:col>
                    <xdr:colOff>647700</xdr:colOff>
                    <xdr:row>39</xdr:row>
                    <xdr:rowOff>180975</xdr:rowOff>
                  </from>
                  <to>
                    <xdr:col>11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6" r:id="rId59" name="Group Box 122">
              <controlPr defaultSize="0" print="0" autoFill="0" autoPict="0">
                <anchor moveWithCells="1">
                  <from>
                    <xdr:col>7</xdr:col>
                    <xdr:colOff>647700</xdr:colOff>
                    <xdr:row>41</xdr:row>
                    <xdr:rowOff>0</xdr:rowOff>
                  </from>
                  <to>
                    <xdr:col>11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7" r:id="rId60" name="Option Button 123">
              <controlPr defaultSize="0" autoFill="0" autoLine="0" autoPict="0">
                <anchor moveWithCells="1">
                  <from>
                    <xdr:col>7</xdr:col>
                    <xdr:colOff>695325</xdr:colOff>
                    <xdr:row>42</xdr:row>
                    <xdr:rowOff>9525</xdr:rowOff>
                  </from>
                  <to>
                    <xdr:col>9</xdr:col>
                    <xdr:colOff>9525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8" r:id="rId61" name="Option Button 124">
              <controlPr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9525</xdr:rowOff>
                  </from>
                  <to>
                    <xdr:col>10</xdr:col>
                    <xdr:colOff>161925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9" r:id="rId62" name="Group Box 125">
              <controlPr defaultSize="0" print="0" autoFill="0" autoPict="0">
                <anchor moveWithCells="1">
                  <from>
                    <xdr:col>7</xdr:col>
                    <xdr:colOff>647700</xdr:colOff>
                    <xdr:row>42</xdr:row>
                    <xdr:rowOff>0</xdr:rowOff>
                  </from>
                  <to>
                    <xdr:col>11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2" r:id="rId63" name="Option Button 68">
              <controlPr defaultSize="0" autoFill="0" autoLine="0" autoPict="0">
                <anchor moveWithCells="1">
                  <from>
                    <xdr:col>16</xdr:col>
                    <xdr:colOff>704850</xdr:colOff>
                    <xdr:row>32</xdr:row>
                    <xdr:rowOff>190500</xdr:rowOff>
                  </from>
                  <to>
                    <xdr:col>18</xdr:col>
                    <xdr:colOff>19050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5" r:id="rId64" name="Group Box 71">
              <controlPr defaultSize="0" print="0" autoFill="0" autoPict="0">
                <anchor moveWithCells="1">
                  <from>
                    <xdr:col>16</xdr:col>
                    <xdr:colOff>657225</xdr:colOff>
                    <xdr:row>32</xdr:row>
                    <xdr:rowOff>190500</xdr:rowOff>
                  </from>
                  <to>
                    <xdr:col>20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2" r:id="rId65" name="Option Button 48">
              <controlPr defaultSize="0" autoFill="0" autoLine="0" autoPict="0">
                <anchor moveWithCells="1">
                  <from>
                    <xdr:col>7</xdr:col>
                    <xdr:colOff>704850</xdr:colOff>
                    <xdr:row>25</xdr:row>
                    <xdr:rowOff>9525</xdr:rowOff>
                  </from>
                  <to>
                    <xdr:col>9</xdr:col>
                    <xdr:colOff>19050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8" r:id="rId66" name="Group Box 54">
              <controlPr defaultSize="0" print="0" autoFill="0" autoPict="0">
                <anchor moveWithCells="1">
                  <from>
                    <xdr:col>7</xdr:col>
                    <xdr:colOff>657225</xdr:colOff>
                    <xdr:row>24</xdr:row>
                    <xdr:rowOff>180975</xdr:rowOff>
                  </from>
                  <to>
                    <xdr:col>11</xdr:col>
                    <xdr:colOff>38100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72" r:id="rId67" name="ResetButton">
              <controlPr defaultSize="0" print="0" autoFill="0" autoPict="0" macro="[0]!Penaltyschiessen_Print">
                <anchor moveWithCells="1">
                  <from>
                    <xdr:col>23</xdr:col>
                    <xdr:colOff>9525</xdr:colOff>
                    <xdr:row>2</xdr:row>
                    <xdr:rowOff>0</xdr:rowOff>
                  </from>
                  <to>
                    <xdr:col>25</xdr:col>
                    <xdr:colOff>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75" r:id="rId68" name="Button 131">
              <controlPr defaultSize="0" print="0" autoFill="0" autoPict="0" macro="[0]!Penaltyschiessen_Checkboxes">
                <anchor moveWithCells="1">
                  <from>
                    <xdr:col>23</xdr:col>
                    <xdr:colOff>9525</xdr:colOff>
                    <xdr:row>7</xdr:row>
                    <xdr:rowOff>0</xdr:rowOff>
                  </from>
                  <to>
                    <xdr:col>25</xdr:col>
                    <xdr:colOff>0</xdr:colOff>
                    <xdr:row>8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119" id="{C01C0079-D56D-4D93-8860-20DE9E4480E0}">
            <xm:f>ISERROR(Zusatzblatt!AB10)</xm:f>
            <x14:dxf>
              <fill>
                <patternFill>
                  <bgColor rgb="FFFF0000"/>
                </patternFill>
              </fill>
            </x14:dxf>
          </x14:cfRule>
          <xm:sqref>W10:Z10 W12:Z40 W11 Z11</xm:sqref>
        </x14:conditionalFormatting>
        <x14:conditionalFormatting xmlns:xm="http://schemas.microsoft.com/office/excel/2006/main">
          <x14:cfRule type="containsErrors" priority="142" id="{C01C0079-D56D-4D93-8860-20DE9E4480E0}">
            <xm:f>ISERROR(Zusatzblatt!AB42)</xm:f>
            <x14:dxf>
              <fill>
                <patternFill>
                  <bgColor rgb="FFFF0000"/>
                </patternFill>
              </fill>
            </x14:dxf>
          </x14:cfRule>
          <xm:sqref>W41:Z1048576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466AA7D-78A4-4BD1-9D18-AE5245B577A4}">
          <x14:formula1>
            <xm:f>Spielbericht!$J$34:$J$51</xm:f>
          </x14:formula1>
          <xm:sqref>N26:N28 N33:N34</xm:sqref>
        </x14:dataValidation>
        <x14:dataValidation type="list" allowBlank="1" showInputMessage="1" showErrorMessage="1" xr:uid="{371981A5-EC96-441F-8AB3-2F6E550391AE}">
          <x14:formula1>
            <xm:f>Spielbericht!$J$36:$J$37</xm:f>
          </x14:formula1>
          <xm:sqref>N21</xm:sqref>
        </x14:dataValidation>
        <x14:dataValidation type="list" allowBlank="1" showInputMessage="1" showErrorMessage="1" xr:uid="{CEF3CDFB-6E39-4EB6-828A-F005649DB8F3}">
          <x14:formula1>
            <xm:f>Spielbericht!$J$7:$J$8</xm:f>
          </x14:formula1>
          <xm:sqref>D21</xm:sqref>
        </x14:dataValidation>
        <x14:dataValidation type="list" allowBlank="1" showInputMessage="1" showErrorMessage="1" xr:uid="{6291F267-F22B-46C7-B7D4-E014B46671A4}">
          <x14:formula1>
            <xm:f>Spielbericht!$J$5:$J$22</xm:f>
          </x14:formula1>
          <xm:sqref>D26:E28 D33:E34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CB12-7EB6-4975-A111-3B0A0E170CD0}">
  <sheetPr codeName="Tabelle18">
    <tabColor rgb="FF00B0F0"/>
    <pageSetUpPr fitToPage="1"/>
  </sheetPr>
  <dimension ref="A1:AB61"/>
  <sheetViews>
    <sheetView showGridLines="0" showRowColHeaders="0" zoomScale="150" zoomScaleNormal="150" workbookViewId="0">
      <selection activeCell="K28" sqref="K28:L28"/>
    </sheetView>
  </sheetViews>
  <sheetFormatPr baseColWidth="10" defaultColWidth="10.7109375" defaultRowHeight="15"/>
  <cols>
    <col min="1" max="1" width="5.7109375" style="102" customWidth="1"/>
    <col min="2" max="2" width="1.42578125" style="102" customWidth="1"/>
    <col min="3" max="3" width="5.7109375" style="102" customWidth="1"/>
    <col min="4" max="4" width="8.28515625" style="102" customWidth="1"/>
    <col min="5" max="5" width="1.42578125" style="102" customWidth="1"/>
    <col min="6" max="6" width="10.7109375" style="102"/>
    <col min="7" max="7" width="1.42578125" style="102" customWidth="1"/>
    <col min="8" max="8" width="10.7109375" style="102"/>
    <col min="9" max="9" width="5" style="102" customWidth="1"/>
    <col min="10" max="10" width="1.42578125" style="102" customWidth="1"/>
    <col min="11" max="11" width="10.7109375" style="102"/>
    <col min="12" max="12" width="5.85546875" style="102" customWidth="1"/>
    <col min="13" max="13" width="1.28515625" style="102" customWidth="1"/>
    <col min="14" max="15" width="8.42578125" style="102" customWidth="1"/>
    <col min="16" max="16" width="1.28515625" style="102" customWidth="1"/>
    <col min="17" max="18" width="8.42578125" style="102" customWidth="1"/>
    <col min="19" max="19" width="6.28515625" style="102" customWidth="1"/>
    <col min="20" max="20" width="3.42578125" style="102" customWidth="1"/>
    <col min="21" max="21" width="1.42578125" style="102" customWidth="1"/>
    <col min="22" max="22" width="10.7109375" style="102" customWidth="1"/>
    <col min="23" max="23" width="11.7109375" style="102" customWidth="1"/>
    <col min="24" max="24" width="1.5703125" style="102" customWidth="1"/>
    <col min="25" max="26" width="10.7109375" style="102"/>
    <col min="27" max="28" width="10.7109375" style="102" customWidth="1"/>
    <col min="29" max="16384" width="10.7109375" style="102"/>
  </cols>
  <sheetData>
    <row r="1" spans="1:28" ht="23.25" customHeight="1">
      <c r="A1" s="780" t="s">
        <v>255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255"/>
      <c r="U1" s="164"/>
      <c r="V1" s="382" t="s">
        <v>208</v>
      </c>
      <c r="W1" s="382"/>
      <c r="X1" s="167"/>
      <c r="AA1" s="2"/>
      <c r="AB1" s="2"/>
    </row>
    <row r="2" spans="1:28" ht="12.75" customHeight="1">
      <c r="A2" s="780"/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255"/>
      <c r="U2" s="165"/>
      <c r="V2" s="162"/>
      <c r="W2" s="162"/>
      <c r="X2" s="168"/>
    </row>
    <row r="3" spans="1:28" ht="18" customHeight="1">
      <c r="A3" s="748" t="s">
        <v>88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159"/>
      <c r="U3" s="165"/>
      <c r="V3" s="162"/>
      <c r="W3" s="162"/>
      <c r="X3" s="168"/>
    </row>
    <row r="4" spans="1:28" ht="15.75" thickBot="1">
      <c r="B4" s="103"/>
      <c r="C4" s="103"/>
      <c r="U4" s="166"/>
      <c r="V4" s="163"/>
      <c r="W4" s="163"/>
      <c r="X4" s="169"/>
    </row>
    <row r="5" spans="1:28" ht="15.75">
      <c r="B5" s="103"/>
      <c r="C5" s="103"/>
      <c r="U5" s="164"/>
      <c r="V5" s="382" t="s">
        <v>266</v>
      </c>
      <c r="W5" s="382"/>
      <c r="X5" s="167"/>
    </row>
    <row r="6" spans="1:28">
      <c r="B6" s="103"/>
      <c r="C6" s="103"/>
      <c r="U6" s="165"/>
      <c r="V6" s="162"/>
      <c r="W6" s="162"/>
      <c r="X6" s="168"/>
    </row>
    <row r="7" spans="1:28" ht="15.75" thickBot="1">
      <c r="B7" s="103"/>
      <c r="C7" s="103"/>
      <c r="U7" s="166"/>
      <c r="V7" s="163"/>
      <c r="W7" s="163"/>
      <c r="X7" s="169"/>
    </row>
    <row r="8" spans="1:28" ht="17.25" customHeight="1">
      <c r="B8" s="750" t="str">
        <f>IF(Spielbericht!D13="","",Spielbericht!D13)</f>
        <v>a-Heim</v>
      </c>
      <c r="C8" s="750"/>
      <c r="D8" s="750"/>
      <c r="E8" s="750"/>
      <c r="F8" s="750"/>
      <c r="H8" s="745" t="str">
        <f ca="1">IF(Spielbericht!I9="","",Spielbericht!I9)</f>
        <v>AB</v>
      </c>
      <c r="I8" s="745"/>
      <c r="K8" s="745" t="str">
        <f>IF(Spielbericht!H13="","",Spielbericht!H13)</f>
        <v/>
      </c>
      <c r="L8" s="745"/>
      <c r="N8" s="795" t="s">
        <v>226</v>
      </c>
      <c r="O8" s="795"/>
      <c r="P8" s="795"/>
      <c r="Q8" s="795"/>
      <c r="R8" s="795"/>
      <c r="S8" s="744">
        <f ca="1">YEAR(TODAY())</f>
        <v>2024</v>
      </c>
    </row>
    <row r="9" spans="1:28" ht="18" customHeight="1">
      <c r="B9" s="776" t="s">
        <v>89</v>
      </c>
      <c r="C9" s="776"/>
      <c r="D9" s="776"/>
      <c r="E9" s="776"/>
      <c r="F9" s="776"/>
      <c r="H9" s="741" t="s">
        <v>138</v>
      </c>
      <c r="I9" s="741"/>
      <c r="K9" s="741" t="s">
        <v>90</v>
      </c>
      <c r="L9" s="741"/>
      <c r="M9" s="253"/>
      <c r="N9" s="743"/>
      <c r="O9" s="743"/>
      <c r="P9" s="743"/>
      <c r="Q9" s="743"/>
      <c r="R9" s="743"/>
      <c r="S9" s="744"/>
      <c r="V9" s="249" t="s">
        <v>272</v>
      </c>
      <c r="W9" s="251" t="s">
        <v>348</v>
      </c>
    </row>
    <row r="10" spans="1:28" ht="12.75" customHeight="1">
      <c r="B10" s="254"/>
      <c r="C10" s="254"/>
      <c r="D10" s="254"/>
      <c r="E10" s="254"/>
      <c r="F10" s="254"/>
      <c r="H10" s="181"/>
      <c r="I10" s="181"/>
      <c r="K10" s="181"/>
      <c r="L10" s="181"/>
      <c r="M10" s="253"/>
      <c r="N10" s="743"/>
      <c r="O10" s="743"/>
      <c r="P10" s="743"/>
      <c r="Q10" s="743"/>
      <c r="R10" s="743"/>
      <c r="S10" s="744"/>
    </row>
    <row r="11" spans="1:28" ht="20.25">
      <c r="B11" s="752" t="str">
        <f ca="1">IF(Spielbericht!D9="","",Spielbericht!D9)</f>
        <v>a-Team 1</v>
      </c>
      <c r="C11" s="752"/>
      <c r="D11" s="752"/>
      <c r="E11" s="752"/>
      <c r="F11" s="752"/>
      <c r="G11" s="774" t="s">
        <v>91</v>
      </c>
      <c r="H11" s="774"/>
      <c r="I11" s="775" t="str">
        <f ca="1">IF(Spielbericht!D11="","",Spielbericht!D11)</f>
        <v>b-Team 2</v>
      </c>
      <c r="J11" s="775"/>
      <c r="K11" s="775"/>
      <c r="L11" s="775"/>
      <c r="N11" s="743"/>
      <c r="O11" s="743"/>
      <c r="P11" s="743"/>
      <c r="Q11" s="743"/>
      <c r="R11" s="743"/>
      <c r="S11" s="744"/>
    </row>
    <row r="12" spans="1:28" ht="21.75" customHeight="1" thickBot="1">
      <c r="B12" s="776" t="s">
        <v>92</v>
      </c>
      <c r="C12" s="776"/>
      <c r="D12" s="776"/>
      <c r="E12" s="776"/>
      <c r="F12" s="776"/>
      <c r="G12" s="254"/>
      <c r="H12" s="104"/>
      <c r="I12" s="776" t="s">
        <v>93</v>
      </c>
      <c r="J12" s="776"/>
      <c r="K12" s="776"/>
      <c r="L12" s="776"/>
      <c r="M12" s="253"/>
      <c r="N12" s="743"/>
      <c r="O12" s="743"/>
      <c r="P12" s="743"/>
      <c r="Q12" s="743"/>
      <c r="R12" s="743"/>
      <c r="S12" s="744"/>
    </row>
    <row r="13" spans="1:28" ht="11.25" customHeight="1" thickBot="1">
      <c r="B13" s="192" t="str">
        <f>IF(Setup!$B$8="Meisterschaft","X","")</f>
        <v>X</v>
      </c>
      <c r="C13" s="193" t="s">
        <v>250</v>
      </c>
      <c r="D13" s="193"/>
      <c r="E13" s="192" t="str">
        <f>IF(Setup!$B$8="Pokal","X","")</f>
        <v/>
      </c>
      <c r="F13" s="193" t="s">
        <v>252</v>
      </c>
      <c r="G13" s="192" t="str">
        <f>IF(Setup!$B$8="Turnier","X","")</f>
        <v/>
      </c>
      <c r="H13" s="193" t="s">
        <v>253</v>
      </c>
      <c r="I13" s="193"/>
      <c r="J13" s="189" t="str">
        <f>IF(OR(Setup!$B$8="Freundschaft",Setup!$B$8="Sonstiges"),"X","")</f>
        <v/>
      </c>
      <c r="K13" s="193" t="s">
        <v>254</v>
      </c>
      <c r="L13" s="193"/>
      <c r="M13" s="105"/>
      <c r="N13" s="743"/>
      <c r="O13" s="743"/>
      <c r="P13" s="743"/>
      <c r="Q13" s="743"/>
      <c r="R13" s="743"/>
      <c r="S13" s="744"/>
    </row>
    <row r="14" spans="1:28" ht="6.75" customHeight="1">
      <c r="G14" s="254"/>
      <c r="H14" s="106"/>
      <c r="I14" s="106"/>
      <c r="M14" s="105"/>
    </row>
    <row r="15" spans="1:28" ht="18.75">
      <c r="B15" s="816" t="s">
        <v>263</v>
      </c>
      <c r="C15" s="816"/>
      <c r="D15" s="816"/>
      <c r="E15" s="816"/>
      <c r="F15" s="816"/>
      <c r="G15" s="816"/>
      <c r="H15" s="816"/>
      <c r="I15" s="816"/>
      <c r="J15" s="816"/>
      <c r="K15" s="816"/>
      <c r="L15" s="816"/>
      <c r="M15" s="173"/>
      <c r="O15" s="194"/>
      <c r="P15" s="817" t="s">
        <v>214</v>
      </c>
      <c r="Q15" s="818"/>
      <c r="R15" s="195" t="str">
        <f>Spielbericht!I15</f>
        <v/>
      </c>
      <c r="S15" s="107"/>
    </row>
    <row r="16" spans="1:28" ht="7.5" customHeight="1">
      <c r="B16" s="172"/>
      <c r="C16" s="172"/>
      <c r="D16" s="172"/>
      <c r="E16" s="172"/>
      <c r="F16" s="172"/>
      <c r="G16" s="172"/>
      <c r="H16" s="172"/>
      <c r="I16" s="172"/>
      <c r="J16" s="172"/>
      <c r="L16" s="172"/>
      <c r="M16" s="172"/>
      <c r="N16" s="172"/>
      <c r="O16" s="172"/>
      <c r="P16" s="172"/>
      <c r="Q16" s="172"/>
      <c r="R16" s="172"/>
    </row>
    <row r="17" spans="1:25">
      <c r="B17" s="784" t="str">
        <f>IF(K17="","",Setup!G6&amp;", "&amp;Setup!H6&amp;" / "&amp;Setup!F6)</f>
        <v>D, a / b-Heim</v>
      </c>
      <c r="C17" s="784"/>
      <c r="D17" s="784"/>
      <c r="E17" s="784"/>
      <c r="F17" s="784"/>
      <c r="G17" s="784"/>
      <c r="H17" s="784"/>
      <c r="I17" s="784"/>
      <c r="J17" s="161"/>
      <c r="K17" s="785" t="str">
        <f>IF(Setup!E6="","",Setup!E6)</f>
        <v>5003</v>
      </c>
      <c r="L17" s="785"/>
      <c r="M17" s="160"/>
      <c r="N17" s="786"/>
      <c r="O17" s="786"/>
      <c r="P17" s="786"/>
      <c r="Q17" s="786"/>
      <c r="R17" s="786"/>
    </row>
    <row r="18" spans="1:25">
      <c r="B18" s="787" t="s">
        <v>230</v>
      </c>
      <c r="C18" s="787"/>
      <c r="D18" s="787"/>
      <c r="E18" s="787"/>
      <c r="F18" s="787"/>
      <c r="G18" s="787"/>
      <c r="H18" s="787"/>
      <c r="I18" s="787"/>
      <c r="J18" s="161"/>
      <c r="K18" s="787" t="s">
        <v>131</v>
      </c>
      <c r="L18" s="787"/>
      <c r="M18" s="160"/>
      <c r="N18" s="787" t="s">
        <v>231</v>
      </c>
      <c r="O18" s="787"/>
      <c r="P18" s="787"/>
      <c r="Q18" s="787"/>
      <c r="R18" s="787"/>
    </row>
    <row r="19" spans="1:25" ht="7.5" customHeight="1">
      <c r="B19" s="160"/>
      <c r="C19" s="160"/>
      <c r="D19" s="161"/>
      <c r="E19" s="161"/>
      <c r="F19" s="161"/>
      <c r="G19" s="161"/>
      <c r="H19" s="161"/>
      <c r="I19" s="161"/>
      <c r="J19" s="161"/>
      <c r="K19" s="252"/>
      <c r="L19" s="160"/>
      <c r="M19" s="160"/>
      <c r="N19" s="160"/>
      <c r="O19" s="160"/>
      <c r="P19" s="160"/>
      <c r="Q19" s="160"/>
      <c r="R19" s="160"/>
      <c r="U19" s="145"/>
    </row>
    <row r="20" spans="1:25">
      <c r="A20" s="101"/>
      <c r="B20" s="784" t="str">
        <f>IF(K20="","",Setup!G7&amp;", "&amp;Setup!H7&amp;" / "&amp;Setup!F7)</f>
        <v>D, b / b-Heim</v>
      </c>
      <c r="C20" s="784"/>
      <c r="D20" s="784"/>
      <c r="E20" s="784"/>
      <c r="F20" s="784"/>
      <c r="G20" s="784"/>
      <c r="H20" s="784"/>
      <c r="I20" s="784"/>
      <c r="J20" s="161"/>
      <c r="K20" s="785" t="str">
        <f>IF(Setup!E7="","",Setup!E7)</f>
        <v>5004</v>
      </c>
      <c r="L20" s="785"/>
      <c r="M20" s="160"/>
      <c r="N20" s="786"/>
      <c r="O20" s="786"/>
      <c r="P20" s="786"/>
      <c r="Q20" s="786"/>
      <c r="R20" s="786"/>
      <c r="Y20" s="151"/>
    </row>
    <row r="21" spans="1:25">
      <c r="A21" s="101"/>
      <c r="B21" s="787" t="s">
        <v>232</v>
      </c>
      <c r="C21" s="787"/>
      <c r="D21" s="787"/>
      <c r="E21" s="787"/>
      <c r="F21" s="787"/>
      <c r="G21" s="787"/>
      <c r="H21" s="787"/>
      <c r="I21" s="787"/>
      <c r="J21" s="161"/>
      <c r="K21" s="787" t="s">
        <v>131</v>
      </c>
      <c r="L21" s="787"/>
      <c r="M21" s="160"/>
      <c r="N21" s="787" t="s">
        <v>231</v>
      </c>
      <c r="O21" s="787"/>
      <c r="P21" s="787"/>
      <c r="Q21" s="787"/>
      <c r="R21" s="787"/>
    </row>
    <row r="22" spans="1:25" ht="7.5" customHeight="1">
      <c r="A22" s="101"/>
      <c r="B22" s="101"/>
      <c r="C22" s="101"/>
      <c r="D22" s="160"/>
      <c r="E22" s="160"/>
      <c r="F22" s="160"/>
      <c r="G22" s="160"/>
      <c r="H22" s="160"/>
      <c r="I22" s="160"/>
      <c r="J22" s="160"/>
      <c r="K22" s="252"/>
      <c r="L22" s="160"/>
      <c r="M22" s="160"/>
      <c r="N22" s="160"/>
      <c r="O22" s="160"/>
      <c r="P22" s="160"/>
      <c r="Q22" s="160"/>
      <c r="R22" s="160"/>
    </row>
    <row r="23" spans="1:25">
      <c r="A23" s="101"/>
      <c r="B23" s="786"/>
      <c r="C23" s="786"/>
      <c r="D23" s="786"/>
      <c r="E23" s="786"/>
      <c r="F23" s="786"/>
      <c r="G23" s="786"/>
      <c r="H23" s="786"/>
      <c r="I23" s="786"/>
      <c r="J23" s="161"/>
      <c r="K23" s="786"/>
      <c r="L23" s="786"/>
      <c r="M23" s="160"/>
      <c r="N23" s="786"/>
      <c r="O23" s="786"/>
      <c r="P23" s="786"/>
      <c r="Q23" s="786"/>
      <c r="R23" s="786"/>
    </row>
    <row r="24" spans="1:25">
      <c r="A24" s="101"/>
      <c r="B24" s="787" t="s">
        <v>233</v>
      </c>
      <c r="C24" s="787"/>
      <c r="D24" s="787"/>
      <c r="E24" s="787"/>
      <c r="F24" s="787"/>
      <c r="G24" s="787"/>
      <c r="H24" s="787"/>
      <c r="I24" s="787"/>
      <c r="J24" s="161"/>
      <c r="K24" s="787" t="s">
        <v>130</v>
      </c>
      <c r="L24" s="787"/>
      <c r="M24" s="160"/>
      <c r="N24" s="787" t="s">
        <v>231</v>
      </c>
      <c r="O24" s="787"/>
      <c r="P24" s="787"/>
      <c r="Q24" s="787"/>
      <c r="R24" s="787"/>
    </row>
    <row r="25" spans="1:25">
      <c r="A25" s="101"/>
      <c r="B25" s="101"/>
      <c r="C25" s="101"/>
      <c r="D25" s="160"/>
      <c r="E25" s="160"/>
      <c r="F25" s="160"/>
      <c r="G25" s="160"/>
      <c r="H25" s="160"/>
      <c r="I25" s="160"/>
      <c r="J25" s="160"/>
      <c r="K25" s="252"/>
      <c r="L25" s="160"/>
      <c r="M25" s="160"/>
      <c r="N25" s="160"/>
      <c r="O25" s="160"/>
      <c r="P25" s="160"/>
      <c r="Q25" s="160"/>
      <c r="R25" s="160"/>
    </row>
    <row r="26" spans="1:25" ht="18.75">
      <c r="B26" s="717" t="s">
        <v>234</v>
      </c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7"/>
    </row>
    <row r="27" spans="1:25" ht="7.5" customHeight="1">
      <c r="B27" s="160"/>
      <c r="C27" s="160"/>
      <c r="D27" s="161"/>
      <c r="E27" s="161"/>
      <c r="F27" s="161"/>
      <c r="G27" s="161"/>
      <c r="H27" s="161"/>
      <c r="I27" s="161"/>
      <c r="J27" s="161"/>
      <c r="K27" s="252"/>
      <c r="M27" s="160"/>
      <c r="N27" s="160"/>
      <c r="O27" s="160"/>
      <c r="P27" s="160"/>
      <c r="Q27" s="160"/>
      <c r="R27" s="160"/>
    </row>
    <row r="28" spans="1:25" ht="18.75">
      <c r="B28" s="785" t="str">
        <f>IF(K28="","",VLOOKUP(K28,Gesamt!A2:E37,4,FALSE)&amp;", "&amp;VLOOKUP(K28,Gesamt!A2:E37,5,FALSE)&amp;" / "&amp;VLOOKUP(K28,Gesamt!A2:F37,6,FALSE))</f>
        <v>A, a / a-Team</v>
      </c>
      <c r="C28" s="785"/>
      <c r="D28" s="785"/>
      <c r="E28" s="785"/>
      <c r="F28" s="785"/>
      <c r="G28" s="785"/>
      <c r="H28" s="785"/>
      <c r="I28" s="785"/>
      <c r="J28" s="173"/>
      <c r="K28" s="793">
        <v>1000</v>
      </c>
      <c r="L28" s="793"/>
      <c r="M28" s="173"/>
      <c r="N28" s="784">
        <f>IF(K28="","",VLOOKUP(K28,Gesamt!A2:E37,2,FALSE))</f>
        <v>1</v>
      </c>
      <c r="O28" s="784"/>
      <c r="P28" s="173"/>
      <c r="Q28" s="790"/>
      <c r="R28" s="790"/>
    </row>
    <row r="29" spans="1:25" ht="15" customHeight="1">
      <c r="B29" s="791" t="s">
        <v>235</v>
      </c>
      <c r="C29" s="791"/>
      <c r="D29" s="791"/>
      <c r="E29" s="791"/>
      <c r="F29" s="791"/>
      <c r="G29" s="791"/>
      <c r="H29" s="791"/>
      <c r="I29" s="791"/>
      <c r="J29" s="172"/>
      <c r="K29" s="791" t="s">
        <v>131</v>
      </c>
      <c r="L29" s="791"/>
      <c r="M29" s="172"/>
      <c r="N29" s="791" t="s">
        <v>129</v>
      </c>
      <c r="O29" s="791"/>
      <c r="P29" s="172"/>
      <c r="Q29" s="796" t="s">
        <v>236</v>
      </c>
      <c r="R29" s="796"/>
    </row>
    <row r="30" spans="1:25" ht="10.5" customHeight="1">
      <c r="B30" s="792"/>
      <c r="C30" s="792"/>
      <c r="D30" s="792"/>
      <c r="E30" s="792"/>
      <c r="F30" s="792"/>
      <c r="G30" s="792"/>
      <c r="H30" s="792"/>
      <c r="I30" s="792"/>
      <c r="J30" s="161"/>
      <c r="K30" s="792"/>
      <c r="L30" s="792"/>
      <c r="M30" s="160"/>
      <c r="N30" s="792"/>
      <c r="O30" s="792"/>
      <c r="P30" s="160"/>
      <c r="Q30" s="796"/>
      <c r="R30" s="796"/>
    </row>
    <row r="31" spans="1:25">
      <c r="B31" s="160"/>
      <c r="C31" s="160"/>
      <c r="D31" s="161"/>
      <c r="E31" s="161"/>
      <c r="F31" s="161"/>
      <c r="G31" s="161"/>
      <c r="H31" s="161"/>
      <c r="I31" s="161"/>
      <c r="J31" s="161"/>
      <c r="L31" s="160"/>
      <c r="M31" s="160"/>
      <c r="N31" s="160"/>
      <c r="O31" s="160"/>
      <c r="P31" s="160"/>
      <c r="Q31" s="160"/>
      <c r="R31" s="160"/>
    </row>
    <row r="32" spans="1:25" ht="18.75">
      <c r="B32" s="717" t="s">
        <v>237</v>
      </c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7"/>
      <c r="N32" s="717"/>
      <c r="O32" s="717"/>
      <c r="P32" s="717"/>
      <c r="Q32" s="717"/>
      <c r="R32" s="717"/>
    </row>
    <row r="33" spans="2:18" ht="7.5" customHeight="1">
      <c r="B33" s="160"/>
      <c r="C33" s="160"/>
      <c r="D33" s="161"/>
      <c r="E33" s="161"/>
      <c r="F33" s="161"/>
      <c r="G33" s="161"/>
      <c r="H33" s="161"/>
      <c r="I33" s="161"/>
      <c r="J33" s="161"/>
      <c r="L33" s="160"/>
      <c r="M33" s="160"/>
      <c r="N33" s="160"/>
      <c r="O33" s="160"/>
      <c r="P33" s="160"/>
      <c r="Q33" s="160"/>
      <c r="R33" s="160"/>
    </row>
    <row r="34" spans="2:18" ht="15" customHeight="1">
      <c r="B34" s="812" t="s">
        <v>239</v>
      </c>
      <c r="C34" s="812"/>
      <c r="D34" s="812"/>
      <c r="E34" s="812"/>
      <c r="F34" s="812"/>
      <c r="G34" s="812"/>
      <c r="H34" s="812"/>
      <c r="I34" s="812"/>
      <c r="J34" s="812"/>
      <c r="K34" s="812"/>
      <c r="L34" s="812"/>
      <c r="M34" s="812"/>
      <c r="N34" s="160"/>
      <c r="O34" s="160"/>
      <c r="P34" s="160"/>
      <c r="Q34" s="160"/>
      <c r="R34" s="160"/>
    </row>
    <row r="35" spans="2:18">
      <c r="B35" s="813" t="s">
        <v>240</v>
      </c>
      <c r="C35" s="813"/>
      <c r="D35" s="813"/>
      <c r="E35" s="813"/>
      <c r="F35" s="813"/>
      <c r="G35" s="815"/>
      <c r="H35" s="815"/>
      <c r="I35" s="815"/>
      <c r="J35" s="815"/>
      <c r="K35" s="815"/>
      <c r="L35" s="815"/>
      <c r="M35" s="815"/>
      <c r="N35" s="160"/>
      <c r="O35" s="160"/>
      <c r="P35" s="160"/>
      <c r="Q35" s="160"/>
      <c r="R35" s="160"/>
    </row>
    <row r="36" spans="2:18">
      <c r="B36" s="176"/>
      <c r="C36" s="176"/>
      <c r="D36" s="814" t="s">
        <v>241</v>
      </c>
      <c r="E36" s="814"/>
      <c r="F36" s="814"/>
      <c r="G36" s="814"/>
      <c r="H36" s="814"/>
      <c r="I36" s="814"/>
      <c r="J36" s="814"/>
      <c r="K36" s="814"/>
      <c r="L36" s="814"/>
      <c r="M36" s="814"/>
      <c r="N36" s="160"/>
      <c r="O36" s="160"/>
      <c r="P36" s="160"/>
      <c r="Q36" s="160"/>
      <c r="R36" s="160"/>
    </row>
    <row r="37" spans="2:18">
      <c r="B37" s="176"/>
      <c r="C37" s="176"/>
      <c r="D37" s="814" t="s">
        <v>242</v>
      </c>
      <c r="E37" s="814"/>
      <c r="F37" s="814"/>
      <c r="G37" s="814"/>
      <c r="H37" s="814"/>
      <c r="I37" s="814"/>
      <c r="J37" s="814"/>
      <c r="K37" s="814"/>
      <c r="L37" s="814"/>
      <c r="M37" s="814"/>
      <c r="N37" s="170"/>
      <c r="O37" s="170"/>
      <c r="P37" s="170"/>
      <c r="Q37" s="170"/>
      <c r="R37" s="170"/>
    </row>
    <row r="38" spans="2:18">
      <c r="B38" s="176"/>
      <c r="C38" s="176"/>
      <c r="D38" s="814" t="s">
        <v>243</v>
      </c>
      <c r="E38" s="814"/>
      <c r="F38" s="814"/>
      <c r="G38" s="814"/>
      <c r="H38" s="814"/>
      <c r="I38" s="814"/>
      <c r="J38" s="814"/>
      <c r="K38" s="814"/>
      <c r="L38" s="814"/>
      <c r="M38" s="814"/>
      <c r="N38" s="170"/>
      <c r="O38" s="170"/>
      <c r="P38" s="170"/>
      <c r="Q38" s="170"/>
      <c r="R38" s="170"/>
    </row>
    <row r="39" spans="2:18" ht="5.25" customHeight="1">
      <c r="B39" s="177"/>
      <c r="C39" s="177"/>
      <c r="D39" s="178"/>
      <c r="E39" s="178"/>
      <c r="F39" s="178"/>
      <c r="G39" s="178"/>
      <c r="H39" s="178"/>
      <c r="I39" s="178"/>
      <c r="J39" s="178"/>
      <c r="K39" s="179"/>
      <c r="L39" s="180"/>
      <c r="M39" s="180"/>
      <c r="N39" s="170"/>
      <c r="O39" s="170"/>
      <c r="P39" s="170"/>
      <c r="Q39" s="170"/>
      <c r="R39" s="170"/>
    </row>
    <row r="40" spans="2:18" ht="7.5" customHeight="1">
      <c r="B40" s="160"/>
      <c r="C40" s="160"/>
      <c r="D40" s="161"/>
      <c r="E40" s="161"/>
      <c r="F40" s="161"/>
      <c r="G40" s="161"/>
      <c r="H40" s="161"/>
      <c r="I40" s="161"/>
      <c r="J40" s="161"/>
      <c r="L40" s="170"/>
      <c r="M40" s="170"/>
      <c r="N40" s="170"/>
      <c r="O40" s="170"/>
      <c r="P40" s="170"/>
      <c r="Q40" s="170"/>
      <c r="R40" s="170"/>
    </row>
    <row r="41" spans="2:18">
      <c r="B41" s="802"/>
      <c r="C41" s="803"/>
      <c r="D41" s="803"/>
      <c r="E41" s="803"/>
      <c r="F41" s="803"/>
      <c r="G41" s="803"/>
      <c r="H41" s="803"/>
      <c r="I41" s="803"/>
      <c r="J41" s="803"/>
      <c r="K41" s="803"/>
      <c r="L41" s="803"/>
      <c r="M41" s="803"/>
      <c r="N41" s="803"/>
      <c r="O41" s="803"/>
      <c r="P41" s="803"/>
      <c r="Q41" s="803"/>
      <c r="R41" s="804"/>
    </row>
    <row r="42" spans="2:18">
      <c r="B42" s="805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807"/>
    </row>
    <row r="43" spans="2:18">
      <c r="B43" s="805"/>
      <c r="C43" s="806"/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  <c r="O43" s="806"/>
      <c r="P43" s="806"/>
      <c r="Q43" s="806"/>
      <c r="R43" s="807"/>
    </row>
    <row r="44" spans="2:18">
      <c r="B44" s="805"/>
      <c r="C44" s="806"/>
      <c r="D44" s="806"/>
      <c r="E44" s="806"/>
      <c r="F44" s="806"/>
      <c r="G44" s="806"/>
      <c r="H44" s="806"/>
      <c r="I44" s="806"/>
      <c r="J44" s="806"/>
      <c r="K44" s="806"/>
      <c r="L44" s="806"/>
      <c r="M44" s="806"/>
      <c r="N44" s="806"/>
      <c r="O44" s="806"/>
      <c r="P44" s="806"/>
      <c r="Q44" s="806"/>
      <c r="R44" s="807"/>
    </row>
    <row r="45" spans="2:18">
      <c r="B45" s="805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06"/>
      <c r="P45" s="806"/>
      <c r="Q45" s="806"/>
      <c r="R45" s="807"/>
    </row>
    <row r="46" spans="2:18">
      <c r="B46" s="805"/>
      <c r="C46" s="806"/>
      <c r="D46" s="806"/>
      <c r="E46" s="806"/>
      <c r="F46" s="806"/>
      <c r="G46" s="806"/>
      <c r="H46" s="806"/>
      <c r="I46" s="806"/>
      <c r="J46" s="806"/>
      <c r="K46" s="806"/>
      <c r="L46" s="806"/>
      <c r="M46" s="806"/>
      <c r="N46" s="806"/>
      <c r="O46" s="806"/>
      <c r="P46" s="806"/>
      <c r="Q46" s="806"/>
      <c r="R46" s="807"/>
    </row>
    <row r="47" spans="2:18" ht="18.75" customHeight="1">
      <c r="B47" s="805"/>
      <c r="C47" s="806"/>
      <c r="D47" s="806"/>
      <c r="E47" s="806"/>
      <c r="F47" s="806"/>
      <c r="G47" s="806"/>
      <c r="H47" s="806"/>
      <c r="I47" s="806"/>
      <c r="J47" s="806"/>
      <c r="K47" s="806"/>
      <c r="L47" s="806"/>
      <c r="M47" s="806"/>
      <c r="N47" s="806"/>
      <c r="O47" s="806"/>
      <c r="P47" s="806"/>
      <c r="Q47" s="806"/>
      <c r="R47" s="807"/>
    </row>
    <row r="48" spans="2:18">
      <c r="B48" s="805"/>
      <c r="C48" s="806"/>
      <c r="D48" s="806"/>
      <c r="E48" s="806"/>
      <c r="F48" s="806"/>
      <c r="G48" s="806"/>
      <c r="H48" s="806"/>
      <c r="I48" s="806"/>
      <c r="J48" s="806"/>
      <c r="K48" s="806"/>
      <c r="L48" s="806"/>
      <c r="M48" s="806"/>
      <c r="N48" s="806"/>
      <c r="O48" s="806"/>
      <c r="P48" s="806"/>
      <c r="Q48" s="806"/>
      <c r="R48" s="807"/>
    </row>
    <row r="49" spans="2:19">
      <c r="B49" s="808"/>
      <c r="C49" s="809"/>
      <c r="D49" s="809"/>
      <c r="E49" s="809"/>
      <c r="F49" s="809"/>
      <c r="G49" s="809"/>
      <c r="H49" s="809"/>
      <c r="I49" s="809"/>
      <c r="J49" s="809"/>
      <c r="K49" s="809"/>
      <c r="L49" s="809"/>
      <c r="M49" s="809"/>
      <c r="N49" s="809"/>
      <c r="O49" s="809"/>
      <c r="P49" s="809"/>
      <c r="Q49" s="809"/>
      <c r="R49" s="810"/>
    </row>
    <row r="50" spans="2:19" ht="7.5" customHeight="1">
      <c r="B50" s="171"/>
      <c r="C50" s="171"/>
      <c r="D50" s="172"/>
      <c r="E50" s="172"/>
      <c r="F50" s="172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</row>
    <row r="51" spans="2:19">
      <c r="B51" s="794" t="s">
        <v>238</v>
      </c>
      <c r="C51" s="794"/>
      <c r="D51" s="794"/>
      <c r="E51" s="794"/>
      <c r="F51" s="794"/>
      <c r="G51" s="170"/>
      <c r="H51" s="811"/>
      <c r="I51" s="811"/>
      <c r="J51" s="170"/>
      <c r="K51" s="811"/>
      <c r="L51" s="811"/>
      <c r="M51" s="170"/>
      <c r="N51" s="170"/>
      <c r="O51" s="811"/>
      <c r="P51" s="811"/>
      <c r="Q51" s="811"/>
      <c r="R51" s="811"/>
    </row>
    <row r="52" spans="2:19" ht="7.5" customHeight="1">
      <c r="B52" s="150"/>
      <c r="C52" s="150"/>
      <c r="D52" s="172"/>
      <c r="E52" s="172"/>
      <c r="F52" s="172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</row>
    <row r="53" spans="2:19">
      <c r="G53" s="100"/>
      <c r="H53" s="788" t="s">
        <v>229</v>
      </c>
      <c r="I53" s="788"/>
      <c r="J53" s="788"/>
      <c r="K53" s="788"/>
      <c r="L53" s="788"/>
      <c r="M53" s="175"/>
      <c r="N53" s="800"/>
      <c r="O53" s="800"/>
      <c r="P53" s="800"/>
      <c r="Q53" s="800"/>
      <c r="R53" s="800"/>
    </row>
    <row r="54" spans="2:19">
      <c r="G54" s="100"/>
      <c r="H54" s="788"/>
      <c r="I54" s="788"/>
      <c r="J54" s="788"/>
      <c r="K54" s="788"/>
      <c r="L54" s="788"/>
      <c r="M54" s="175"/>
      <c r="N54" s="801"/>
      <c r="O54" s="801"/>
      <c r="P54" s="801"/>
      <c r="Q54" s="801"/>
      <c r="R54" s="801"/>
    </row>
    <row r="55" spans="2:19">
      <c r="G55" s="100"/>
      <c r="H55" s="788"/>
      <c r="I55" s="788"/>
      <c r="J55" s="788"/>
      <c r="K55" s="788"/>
      <c r="L55" s="788"/>
      <c r="M55" s="175"/>
      <c r="N55" s="789" t="s">
        <v>227</v>
      </c>
      <c r="O55" s="789"/>
      <c r="P55" s="789"/>
      <c r="Q55" s="789"/>
      <c r="R55" s="789"/>
    </row>
    <row r="56" spans="2:19" ht="10.5" customHeight="1">
      <c r="G56" s="100"/>
      <c r="H56" s="788"/>
      <c r="I56" s="788"/>
      <c r="J56" s="788"/>
      <c r="K56" s="788"/>
      <c r="L56" s="788"/>
      <c r="M56" s="175"/>
      <c r="N56" s="788"/>
      <c r="O56" s="788"/>
      <c r="P56" s="788"/>
      <c r="Q56" s="788"/>
      <c r="R56" s="788"/>
    </row>
    <row r="57" spans="2:19" ht="7.5" customHeight="1">
      <c r="G57" s="113"/>
      <c r="H57" s="113"/>
      <c r="I57" s="114"/>
      <c r="J57" s="114"/>
      <c r="K57" s="115"/>
      <c r="L57" s="115"/>
      <c r="M57" s="116"/>
      <c r="N57" s="114"/>
      <c r="O57" s="114"/>
      <c r="P57" s="114"/>
      <c r="Q57" s="100"/>
      <c r="R57" s="114"/>
    </row>
    <row r="58" spans="2:19">
      <c r="B58" s="174"/>
      <c r="C58" s="174"/>
      <c r="D58" s="174"/>
      <c r="E58" s="174"/>
      <c r="F58" s="174"/>
      <c r="H58" s="721"/>
      <c r="I58" s="721"/>
      <c r="J58" s="721"/>
      <c r="K58" s="721"/>
      <c r="N58" s="721"/>
      <c r="O58" s="721"/>
      <c r="P58" s="721"/>
      <c r="Q58" s="721"/>
      <c r="R58" s="721"/>
      <c r="S58" s="101"/>
    </row>
    <row r="59" spans="2:19">
      <c r="B59" s="174"/>
      <c r="C59" s="174"/>
      <c r="D59" s="174"/>
      <c r="E59" s="174"/>
      <c r="F59" s="174"/>
      <c r="H59" s="722"/>
      <c r="I59" s="722"/>
      <c r="J59" s="722"/>
      <c r="K59" s="722"/>
      <c r="N59" s="722"/>
      <c r="O59" s="722"/>
      <c r="P59" s="722"/>
      <c r="Q59" s="722"/>
      <c r="R59" s="722"/>
    </row>
    <row r="60" spans="2:19">
      <c r="B60" s="174"/>
      <c r="C60" s="174"/>
      <c r="D60" s="174"/>
      <c r="E60" s="174"/>
      <c r="F60" s="174"/>
      <c r="H60" s="797" t="s">
        <v>203</v>
      </c>
      <c r="I60" s="797"/>
      <c r="J60" s="798"/>
      <c r="K60" s="798"/>
      <c r="L60" s="105"/>
      <c r="M60" s="105"/>
      <c r="N60" s="799" t="s">
        <v>202</v>
      </c>
      <c r="O60" s="799"/>
      <c r="P60" s="799"/>
      <c r="Q60" s="799"/>
      <c r="R60" s="799"/>
    </row>
    <row r="61" spans="2:19">
      <c r="H61" s="723" t="s">
        <v>228</v>
      </c>
      <c r="I61" s="723"/>
      <c r="J61" s="723"/>
      <c r="K61" s="723"/>
      <c r="L61" s="723"/>
      <c r="M61" s="723"/>
      <c r="N61" s="723"/>
      <c r="O61" s="723"/>
      <c r="P61" s="723"/>
      <c r="Q61" s="723"/>
      <c r="R61" s="723"/>
    </row>
  </sheetData>
  <sheetProtection password="E760" sheet="1" objects="1" scenarios="1" selectLockedCells="1"/>
  <dataConsolidate/>
  <mergeCells count="67">
    <mergeCell ref="V5:W5"/>
    <mergeCell ref="V1:W1"/>
    <mergeCell ref="H58:K59"/>
    <mergeCell ref="N58:R59"/>
    <mergeCell ref="A1:L2"/>
    <mergeCell ref="A3:L3"/>
    <mergeCell ref="B8:F8"/>
    <mergeCell ref="H8:I8"/>
    <mergeCell ref="K8:L8"/>
    <mergeCell ref="B9:F9"/>
    <mergeCell ref="H9:I9"/>
    <mergeCell ref="K9:L9"/>
    <mergeCell ref="B15:L15"/>
    <mergeCell ref="P15:Q15"/>
    <mergeCell ref="K23:L23"/>
    <mergeCell ref="N23:R23"/>
    <mergeCell ref="Q29:R30"/>
    <mergeCell ref="H60:K60"/>
    <mergeCell ref="N60:R60"/>
    <mergeCell ref="N53:R54"/>
    <mergeCell ref="B41:R49"/>
    <mergeCell ref="H51:I51"/>
    <mergeCell ref="K51:L51"/>
    <mergeCell ref="O51:R51"/>
    <mergeCell ref="B34:M34"/>
    <mergeCell ref="B35:F35"/>
    <mergeCell ref="D36:M36"/>
    <mergeCell ref="D37:M37"/>
    <mergeCell ref="D38:M38"/>
    <mergeCell ref="G35:M35"/>
    <mergeCell ref="S8:S13"/>
    <mergeCell ref="B11:F11"/>
    <mergeCell ref="G11:H11"/>
    <mergeCell ref="I11:L11"/>
    <mergeCell ref="B12:F12"/>
    <mergeCell ref="I12:L12"/>
    <mergeCell ref="N8:R8"/>
    <mergeCell ref="N9:R13"/>
    <mergeCell ref="B26:R26"/>
    <mergeCell ref="K21:L21"/>
    <mergeCell ref="N21:R21"/>
    <mergeCell ref="B23:I23"/>
    <mergeCell ref="H61:R61"/>
    <mergeCell ref="H53:L56"/>
    <mergeCell ref="N55:R56"/>
    <mergeCell ref="Q28:R28"/>
    <mergeCell ref="N28:O28"/>
    <mergeCell ref="N29:O30"/>
    <mergeCell ref="B28:I28"/>
    <mergeCell ref="K28:L28"/>
    <mergeCell ref="K29:L30"/>
    <mergeCell ref="B29:I30"/>
    <mergeCell ref="B32:R32"/>
    <mergeCell ref="B51:F51"/>
    <mergeCell ref="B17:I17"/>
    <mergeCell ref="K17:L17"/>
    <mergeCell ref="N17:R17"/>
    <mergeCell ref="B18:I18"/>
    <mergeCell ref="K18:L18"/>
    <mergeCell ref="N18:R18"/>
    <mergeCell ref="B20:I20"/>
    <mergeCell ref="K20:L20"/>
    <mergeCell ref="N20:R20"/>
    <mergeCell ref="B21:I21"/>
    <mergeCell ref="B24:I24"/>
    <mergeCell ref="K24:L24"/>
    <mergeCell ref="N24:R24"/>
  </mergeCells>
  <conditionalFormatting sqref="A1:S7 A14:S14 S8 A8:P10 A11:M12 A15:B15 S15 A62:S1048576 A61:H61 S61 A57:S60 A16:S16 A54:G56 A53:H53 M53:S54 N55:P55 M55:M56 S55:S56 A19:S19 A17:C18 J17:K18 M17:P18 S17:S18 A22:S22 A20:A21 S20:S21 A25:S25 A23:A24 S23:S24 A27:S27 A26 S26 A31:S31 A28:C29 J28:K29 M28:N29 A30 S28:S30 P28:Q29 P30 M30 J30 A32 S32 A33:S33 Z1:XFD1048576 A52:S52 A51:C51 G51:H51 J51:K51 M51:O51 S51 A39:S40 A34:C34 A35:A38 N34:S38 A50:S50 A41:C41 A42:A49 S41:S49 A13:I13 K13:M13">
    <cfRule type="containsErrors" dxfId="19" priority="9">
      <formula>ISERROR(A1)</formula>
    </cfRule>
  </conditionalFormatting>
  <conditionalFormatting sqref="B21:C21 J20:K21 M20:P21">
    <cfRule type="containsErrors" dxfId="18" priority="6">
      <formula>ISERROR(B20)</formula>
    </cfRule>
  </conditionalFormatting>
  <conditionalFormatting sqref="B23:C24 J23:K24 M23:P24">
    <cfRule type="containsErrors" dxfId="17" priority="5">
      <formula>ISERROR(B23)</formula>
    </cfRule>
  </conditionalFormatting>
  <conditionalFormatting sqref="B26:C26">
    <cfRule type="containsErrors" dxfId="16" priority="4">
      <formula>ISERROR(B26)</formula>
    </cfRule>
  </conditionalFormatting>
  <conditionalFormatting sqref="B32:C32">
    <cfRule type="containsErrors" dxfId="15" priority="3">
      <formula>ISERROR(B32)</formula>
    </cfRule>
  </conditionalFormatting>
  <conditionalFormatting sqref="J13">
    <cfRule type="containsErrors" dxfId="14" priority="2">
      <formula>ISERROR(J13)</formula>
    </cfRule>
  </conditionalFormatting>
  <conditionalFormatting sqref="B20:C20">
    <cfRule type="containsErrors" dxfId="13" priority="1">
      <formula>ISERROR(B20)</formula>
    </cfRule>
  </conditionalFormatting>
  <pageMargins left="3.937007874015748E-2" right="3.937007874015748E-2" top="0.3543307086614173" bottom="0.15748031496062992" header="0.11811023622047244" footer="0.19685039370078741"/>
  <pageSetup paperSize="9" scale="92" orientation="portrait" horizontalDpi="360" verticalDpi="360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410" r:id="rId4" name="Check Box 42">
              <controlPr defaultSize="0" autoFill="0" autoLine="0" autoPict="0">
                <anchor moveWithCells="1">
                  <from>
                    <xdr:col>6</xdr:col>
                    <xdr:colOff>95250</xdr:colOff>
                    <xdr:row>50</xdr:row>
                    <xdr:rowOff>9525</xdr:rowOff>
                  </from>
                  <to>
                    <xdr:col>8</xdr:col>
                    <xdr:colOff>323850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1" r:id="rId5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50</xdr:row>
                    <xdr:rowOff>9525</xdr:rowOff>
                  </from>
                  <to>
                    <xdr:col>11</xdr:col>
                    <xdr:colOff>361950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2" r:id="rId6" name="Check Box 44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9525</xdr:rowOff>
                  </from>
                  <to>
                    <xdr:col>18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3" r:id="rId7" name="Check Box 45">
              <controlPr defaultSize="0" autoFill="0" autoLine="0" autoPict="0">
                <anchor moveWithCells="1">
                  <from>
                    <xdr:col>1</xdr:col>
                    <xdr:colOff>152400</xdr:colOff>
                    <xdr:row>35</xdr:row>
                    <xdr:rowOff>9525</xdr:rowOff>
                  </from>
                  <to>
                    <xdr:col>2</xdr:col>
                    <xdr:colOff>228600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4" r:id="rId8" name="Check Box 46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0</xdr:rowOff>
                  </from>
                  <to>
                    <xdr:col>2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5" r:id="rId9" name="Check Box 47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190500</xdr:rowOff>
                  </from>
                  <to>
                    <xdr:col>2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4" r:id="rId10" name="Option Button 56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19050</xdr:rowOff>
                  </from>
                  <to>
                    <xdr:col>17</xdr:col>
                    <xdr:colOff>533400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5" r:id="rId11" name="Option Button 57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238125</xdr:rowOff>
                  </from>
                  <to>
                    <xdr:col>17</xdr:col>
                    <xdr:colOff>285750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6" r:id="rId12" name="Option Button 58">
              <controlPr defaultSize="0" autoFill="0" autoLine="0" autoPict="0">
                <anchor moveWithCells="1">
                  <from>
                    <xdr:col>13</xdr:col>
                    <xdr:colOff>28575</xdr:colOff>
                    <xdr:row>10</xdr:row>
                    <xdr:rowOff>47625</xdr:rowOff>
                  </from>
                  <to>
                    <xdr:col>17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7" r:id="rId13" name="Option Button 59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200025</xdr:rowOff>
                  </from>
                  <to>
                    <xdr:col>17</xdr:col>
                    <xdr:colOff>533400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8" r:id="rId14" name="Option Button 60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190500</xdr:rowOff>
                  </from>
                  <to>
                    <xdr:col>17</xdr:col>
                    <xdr:colOff>542925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9" r:id="rId15" name="ResetButton">
              <controlPr defaultSize="0" print="0" autoFill="0" autoPict="0" macro="[0]!BesondereVorkommnisse_Copy">
                <anchor moveWithCells="1">
                  <from>
                    <xdr:col>20</xdr:col>
                    <xdr:colOff>95250</xdr:colOff>
                    <xdr:row>5</xdr:row>
                    <xdr:rowOff>28575</xdr:rowOff>
                  </from>
                  <to>
                    <xdr:col>23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9" r:id="rId16" name="Button 41">
              <controlPr defaultSize="0" print="0" autoFill="0" autoPict="0" macro="[0]!BesondereVorkommnisse_Print">
                <anchor moveWithCells="1">
                  <from>
                    <xdr:col>20</xdr:col>
                    <xdr:colOff>85725</xdr:colOff>
                    <xdr:row>2</xdr:row>
                    <xdr:rowOff>0</xdr:rowOff>
                  </from>
                  <to>
                    <xdr:col>23</xdr:col>
                    <xdr:colOff>28575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26" id="{B1FE6641-62BD-4718-A550-BF80FBC10064}">
            <xm:f>ISERROR(Penaltyschießen!W1)</xm:f>
            <x14:dxf>
              <fill>
                <patternFill>
                  <bgColor rgb="FFFF0000"/>
                </patternFill>
              </fill>
            </x14:dxf>
          </x14:cfRule>
          <xm:sqref>Y28:Y39 Y1:Y10</xm:sqref>
        </x14:conditionalFormatting>
        <x14:conditionalFormatting xmlns:xm="http://schemas.microsoft.com/office/excel/2006/main">
          <x14:cfRule type="containsErrors" priority="29" id="{D664807B-9FAF-41D7-AC32-39261F148A7A}">
            <xm:f>ISERROR(Zusatzblatt!W1)</xm:f>
            <x14:dxf>
              <fill>
                <patternFill>
                  <bgColor rgb="FFFF0000"/>
                </patternFill>
              </fill>
            </x14:dxf>
          </x14:cfRule>
          <xm:sqref>T28:X39 T8:X8 T1:T7 T10:X10 T9:U9 X9</xm:sqref>
        </x14:conditionalFormatting>
        <x14:conditionalFormatting xmlns:xm="http://schemas.microsoft.com/office/excel/2006/main">
          <x14:cfRule type="containsErrors" priority="43" id="{B1FE6641-62BD-4718-A550-BF80FBC10064}">
            <xm:f>ISERROR(Penaltyschießen!W53)</xm:f>
            <x14:dxf>
              <fill>
                <patternFill>
                  <bgColor rgb="FFFF0000"/>
                </patternFill>
              </fill>
            </x14:dxf>
          </x14:cfRule>
          <xm:sqref>Y56:Y1048576</xm:sqref>
        </x14:conditionalFormatting>
        <x14:conditionalFormatting xmlns:xm="http://schemas.microsoft.com/office/excel/2006/main">
          <x14:cfRule type="containsErrors" priority="45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T56:X1048576 T40:X41</xm:sqref>
        </x14:conditionalFormatting>
        <x14:conditionalFormatting xmlns:xm="http://schemas.microsoft.com/office/excel/2006/main">
          <x14:cfRule type="containsErrors" priority="89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Y53:Y55 Y40:Y41</xm:sqref>
        </x14:conditionalFormatting>
        <x14:conditionalFormatting xmlns:xm="http://schemas.microsoft.com/office/excel/2006/main">
          <x14:cfRule type="containsErrors" priority="90" id="{D664807B-9FAF-41D7-AC32-39261F148A7A}">
            <xm:f>ISERROR(Zusatzblatt!W10)</xm:f>
            <x14:dxf>
              <fill>
                <patternFill>
                  <bgColor rgb="FFFF0000"/>
                </patternFill>
              </fill>
            </x14:dxf>
          </x14:cfRule>
          <xm:sqref>T53:X55 T11:X27</xm:sqref>
        </x14:conditionalFormatting>
        <x14:conditionalFormatting xmlns:xm="http://schemas.microsoft.com/office/excel/2006/main">
          <x14:cfRule type="containsErrors" priority="94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Y46:Y52</xm:sqref>
        </x14:conditionalFormatting>
        <x14:conditionalFormatting xmlns:xm="http://schemas.microsoft.com/office/excel/2006/main">
          <x14:cfRule type="containsErrors" priority="96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T46:X52</xm:sqref>
        </x14:conditionalFormatting>
        <x14:conditionalFormatting xmlns:xm="http://schemas.microsoft.com/office/excel/2006/main">
          <x14:cfRule type="containsErrors" priority="100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Y44:Y45</xm:sqref>
        </x14:conditionalFormatting>
        <x14:conditionalFormatting xmlns:xm="http://schemas.microsoft.com/office/excel/2006/main">
          <x14:cfRule type="containsErrors" priority="102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T44:X45</xm:sqref>
        </x14:conditionalFormatting>
        <x14:conditionalFormatting xmlns:xm="http://schemas.microsoft.com/office/excel/2006/main">
          <x14:cfRule type="containsErrors" priority="106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Y42:Y43</xm:sqref>
        </x14:conditionalFormatting>
        <x14:conditionalFormatting xmlns:xm="http://schemas.microsoft.com/office/excel/2006/main">
          <x14:cfRule type="containsErrors" priority="108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T42:X43</xm:sqref>
        </x14:conditionalFormatting>
        <x14:conditionalFormatting xmlns:xm="http://schemas.microsoft.com/office/excel/2006/main">
          <x14:cfRule type="containsErrors" priority="112" id="{B1FE6641-62BD-4718-A550-BF80FBC10064}">
            <xm:f>ISERROR(Penaltyschießen!W10)</xm:f>
            <x14:dxf>
              <fill>
                <patternFill>
                  <bgColor rgb="FFFF0000"/>
                </patternFill>
              </fill>
            </x14:dxf>
          </x14:cfRule>
          <xm:sqref>Y11:Y27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2BAF1A-3820-438B-BD42-29DC593D5B84}">
          <x14:formula1>
            <xm:f>Gesamt!$A$2:$A$37</xm:f>
          </x14:formula1>
          <xm:sqref>K28:L28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500D-2C63-4B5D-99F1-99DA314A369B}">
  <sheetPr codeName="Tabelle1">
    <tabColor rgb="FFFFFF00"/>
    <pageSetUpPr fitToPage="1"/>
  </sheetPr>
  <dimension ref="A1:M17"/>
  <sheetViews>
    <sheetView showGridLines="0" showRowColHeaders="0" tabSelected="1" zoomScale="115" zoomScaleNormal="115" workbookViewId="0">
      <selection activeCell="B13" sqref="B13"/>
    </sheetView>
  </sheetViews>
  <sheetFormatPr baseColWidth="10" defaultColWidth="11.42578125" defaultRowHeight="15"/>
  <cols>
    <col min="1" max="1" width="18.140625" style="102" bestFit="1" customWidth="1"/>
    <col min="2" max="2" width="13.140625" style="207" bestFit="1" customWidth="1"/>
    <col min="3" max="3" width="18.140625" style="102" bestFit="1" customWidth="1"/>
    <col min="4" max="4" width="15" style="102" bestFit="1" customWidth="1"/>
    <col min="5" max="8" width="18" style="102" customWidth="1"/>
    <col min="9" max="9" width="3" style="102" customWidth="1"/>
    <col min="10" max="10" width="1.42578125" style="102" customWidth="1"/>
    <col min="11" max="11" width="11.140625" style="102" bestFit="1" customWidth="1"/>
    <col min="12" max="12" width="12.140625" style="102" bestFit="1" customWidth="1"/>
    <col min="13" max="13" width="1.42578125" style="102" customWidth="1"/>
    <col min="14" max="14" width="11.28515625" style="102" customWidth="1"/>
    <col min="15" max="16384" width="11.42578125" style="102"/>
  </cols>
  <sheetData>
    <row r="1" spans="1:13" ht="21">
      <c r="A1" s="376" t="s">
        <v>256</v>
      </c>
      <c r="B1" s="376"/>
      <c r="C1" s="376"/>
      <c r="D1" s="376"/>
      <c r="E1" s="376"/>
      <c r="F1" s="376"/>
      <c r="G1" s="376"/>
      <c r="H1" s="376"/>
      <c r="J1" s="164"/>
      <c r="K1" s="382" t="s">
        <v>208</v>
      </c>
      <c r="L1" s="382"/>
      <c r="M1" s="167"/>
    </row>
    <row r="2" spans="1:13" ht="15.75" thickBot="1">
      <c r="A2" s="253"/>
      <c r="B2" s="253"/>
      <c r="C2" s="253"/>
      <c r="D2" s="253"/>
      <c r="E2" s="253"/>
      <c r="F2" s="253"/>
      <c r="G2" s="253"/>
      <c r="H2" s="253"/>
      <c r="J2" s="165"/>
      <c r="K2" s="162"/>
      <c r="L2" s="162"/>
      <c r="M2" s="168"/>
    </row>
    <row r="3" spans="1:13" ht="15.75" thickBot="1">
      <c r="A3" s="197" t="s">
        <v>89</v>
      </c>
      <c r="B3" s="305" t="s">
        <v>346</v>
      </c>
      <c r="D3" s="198"/>
      <c r="E3" s="199" t="s">
        <v>131</v>
      </c>
      <c r="F3" s="212" t="s">
        <v>261</v>
      </c>
      <c r="G3" s="200" t="s">
        <v>96</v>
      </c>
      <c r="H3" s="201" t="s">
        <v>97</v>
      </c>
      <c r="J3" s="166"/>
      <c r="K3" s="163"/>
      <c r="L3" s="163"/>
      <c r="M3" s="169"/>
    </row>
    <row r="4" spans="1:13">
      <c r="A4" s="202" t="s">
        <v>90</v>
      </c>
      <c r="B4" s="306"/>
      <c r="D4" s="203" t="s">
        <v>247</v>
      </c>
      <c r="E4" s="312" t="s">
        <v>349</v>
      </c>
      <c r="F4" s="313" t="s">
        <v>346</v>
      </c>
      <c r="G4" s="314" t="s">
        <v>20</v>
      </c>
      <c r="H4" s="315" t="s">
        <v>323</v>
      </c>
    </row>
    <row r="5" spans="1:13">
      <c r="A5" s="202" t="s">
        <v>244</v>
      </c>
      <c r="B5" s="307"/>
      <c r="D5" s="204" t="s">
        <v>248</v>
      </c>
      <c r="E5" s="316" t="s">
        <v>350</v>
      </c>
      <c r="F5" s="317" t="s">
        <v>346</v>
      </c>
      <c r="G5" s="318" t="s">
        <v>20</v>
      </c>
      <c r="H5" s="319" t="s">
        <v>324</v>
      </c>
    </row>
    <row r="6" spans="1:13">
      <c r="A6" s="202" t="s">
        <v>245</v>
      </c>
      <c r="B6" s="307"/>
      <c r="D6" s="204" t="s">
        <v>94</v>
      </c>
      <c r="E6" s="316" t="s">
        <v>351</v>
      </c>
      <c r="F6" s="317" t="s">
        <v>347</v>
      </c>
      <c r="G6" s="318" t="s">
        <v>104</v>
      </c>
      <c r="H6" s="319" t="s">
        <v>323</v>
      </c>
    </row>
    <row r="7" spans="1:13">
      <c r="A7" s="202" t="s">
        <v>270</v>
      </c>
      <c r="B7" s="308"/>
      <c r="D7" s="204" t="s">
        <v>95</v>
      </c>
      <c r="E7" s="316" t="s">
        <v>352</v>
      </c>
      <c r="F7" s="317" t="s">
        <v>347</v>
      </c>
      <c r="G7" s="318" t="s">
        <v>104</v>
      </c>
      <c r="H7" s="319" t="s">
        <v>324</v>
      </c>
    </row>
    <row r="8" spans="1:13" ht="15.75" thickBot="1">
      <c r="A8" s="202" t="s">
        <v>246</v>
      </c>
      <c r="B8" s="308" t="s">
        <v>250</v>
      </c>
      <c r="D8" s="205" t="s">
        <v>249</v>
      </c>
      <c r="E8" s="320" t="s">
        <v>353</v>
      </c>
      <c r="F8" s="321" t="s">
        <v>354</v>
      </c>
      <c r="G8" s="322" t="s">
        <v>105</v>
      </c>
      <c r="H8" s="323" t="s">
        <v>323</v>
      </c>
    </row>
    <row r="9" spans="1:13" ht="15.75" thickBot="1">
      <c r="A9" s="206" t="s">
        <v>251</v>
      </c>
      <c r="B9" s="309">
        <v>300</v>
      </c>
    </row>
    <row r="10" spans="1:13" ht="15.75" thickBot="1"/>
    <row r="11" spans="1:13" ht="16.5" thickBot="1">
      <c r="A11" s="379" t="s">
        <v>260</v>
      </c>
      <c r="B11" s="380"/>
      <c r="C11" s="380"/>
      <c r="D11" s="381"/>
    </row>
    <row r="12" spans="1:13" ht="15.75" thickBot="1">
      <c r="A12" s="377" t="s">
        <v>259</v>
      </c>
      <c r="B12" s="378"/>
      <c r="C12" s="377" t="s">
        <v>139</v>
      </c>
      <c r="D12" s="378"/>
    </row>
    <row r="13" spans="1:13">
      <c r="A13" s="208" t="s">
        <v>258</v>
      </c>
      <c r="B13" s="310">
        <v>2000</v>
      </c>
      <c r="C13" s="208" t="s">
        <v>258</v>
      </c>
      <c r="D13" s="310">
        <v>1000</v>
      </c>
    </row>
    <row r="14" spans="1:13" ht="15.75" thickBot="1">
      <c r="A14" s="209" t="s">
        <v>257</v>
      </c>
      <c r="B14" s="311">
        <v>3</v>
      </c>
      <c r="C14" s="209" t="s">
        <v>257</v>
      </c>
      <c r="D14" s="311">
        <v>0</v>
      </c>
    </row>
    <row r="17" spans="1:8">
      <c r="A17" s="102" t="s">
        <v>271</v>
      </c>
      <c r="G17" s="249" t="s">
        <v>272</v>
      </c>
      <c r="H17" s="250" t="s">
        <v>348</v>
      </c>
    </row>
  </sheetData>
  <sheetProtection password="E760" sheet="1" objects="1" scenarios="1" selectLockedCells="1"/>
  <dataConsolidate/>
  <mergeCells count="5">
    <mergeCell ref="A1:H1"/>
    <mergeCell ref="A12:B12"/>
    <mergeCell ref="C12:D12"/>
    <mergeCell ref="A11:D11"/>
    <mergeCell ref="K1:L1"/>
  </mergeCells>
  <dataValidations xWindow="276" yWindow="295" count="5">
    <dataValidation type="list" allowBlank="1" showInputMessage="1" showErrorMessage="1" promptTitle="Spieltyp" prompt="Suche hier den passenden Spieltyp aus." sqref="B8" xr:uid="{71B61270-C5F1-4879-A919-D759F97C0FC9}">
      <formula1>"Meisterschaft, Pokal, Turnier, Freundschaft, Sonstiges"</formula1>
    </dataValidation>
    <dataValidation allowBlank="1" showInputMessage="1" showErrorMessage="1" promptTitle="Spielort" prompt="Hier wird der Spielort des aktuellen Spiels eingetragen." sqref="B3" xr:uid="{A1FE57DF-14E4-4E39-8685-282FA9711B02}"/>
    <dataValidation allowBlank="1" showInputMessage="1" showErrorMessage="1" promptTitle="Startzeit" prompt="Hier wird die Startzeit des Spiels eingetragen! Beim Tragen wird die Uhrzeit ohne &quot;:&quot; eingegeben. Es reicht aus eine vierstelle Zahl zu verwenden!_x000a__x000a_Beispiel:_x000a_Uhrzeit 17:45 wird als 1745 eingetragen" sqref="B5" xr:uid="{0C8FECB6-88CC-4A08-ABA8-796E78309B24}"/>
    <dataValidation allowBlank="1" showInputMessage="1" showErrorMessage="1" promptTitle="Spielnummer" prompt="Hier wird die Spielnummer eingetragen. Die Spielnummer ist im Excel-Export des Spielplans zu finden:_x000a_www.ishd.de/saison/2023/spielplan.xlsx" sqref="B7" xr:uid="{6DE7463A-6C62-4858-80BB-50A6495DE57F}"/>
    <dataValidation allowBlank="1" showInputMessage="1" showErrorMessage="1" promptTitle="Zuschauerzahl" prompt="Hier wird die Zuschauerzahl des Spiels eingetragen!" sqref="B9" xr:uid="{8F7E24C2-1ADA-4B8D-B1B3-A20C81FB084A}"/>
  </dataValidation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ResetButton">
              <controlPr defaultSize="0" print="0" autoFill="0" autoPict="0" macro="[0]!Setup_reset">
                <anchor moveWithCells="1">
                  <from>
                    <xdr:col>10</xdr:col>
                    <xdr:colOff>57150</xdr:colOff>
                    <xdr:row>1</xdr:row>
                    <xdr:rowOff>28575</xdr:rowOff>
                  </from>
                  <to>
                    <xdr:col>11</xdr:col>
                    <xdr:colOff>790575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76" yWindow="295" count="2">
        <x14:dataValidation type="list" allowBlank="1" showInputMessage="1" showErrorMessage="1" promptTitle="Verlängerungszeit" prompt="Bitte trage hier die Verlängerung ein. Beim Tragen wird die Spielzeit ohne &quot;:&quot; eingegeben. Es reicht aus eine vierstelle Zahl zu verwenden!_x000a__x000a_Beispiel:_x000a_Bambini (2x 05:00 Minuten) -&gt; Eingetragen wird 0500_x000a_Herren (2x 10:00 Minuten) -&gt; Eingetragen wird 1000" xr:uid="{AC3A1747-213E-4F59-9AF8-10E439C0A1CD}">
          <x14:formula1>
            <xm:f>Daten!$E$2:$E$3</xm:f>
          </x14:formula1>
          <xm:sqref>D13</xm:sqref>
        </x14:dataValidation>
        <x14:dataValidation type="list" allowBlank="1" showInputMessage="1" showErrorMessage="1" promptTitle="Spielzeit" prompt="Bitte trage hier die Spielzeit ein. Beim Tragen wird die Spielzeit ohne &quot;:&quot; eingegeben. Es reicht aus eine vierstelle Zahl zu verwenden!_x000a__x000a_Beispiel:_x000a_Bambini (3x 12:00 Minuten) -&gt; Eingetragen wird 1200_x000a_Schüler (3x 15:00 Minuten) -&gt; Eingetragen wird 1500" xr:uid="{EC322131-60EE-4514-AA27-ACDAEBD30996}">
          <x14:formula1>
            <xm:f>Daten!$D$2:$D$8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446F-E522-495F-B6C9-7EE00426FFFC}">
  <sheetPr codeName="Tabelle3">
    <tabColor rgb="FF92D050"/>
  </sheetPr>
  <dimension ref="A1:F37"/>
  <sheetViews>
    <sheetView workbookViewId="0">
      <selection activeCell="D27" sqref="D27"/>
    </sheetView>
  </sheetViews>
  <sheetFormatPr baseColWidth="10" defaultRowHeight="15"/>
  <cols>
    <col min="1" max="1" width="14.7109375" bestFit="1" customWidth="1"/>
    <col min="2" max="2" width="16" bestFit="1" customWidth="1"/>
    <col min="3" max="3" width="11.140625" bestFit="1" customWidth="1"/>
    <col min="4" max="4" width="12.7109375" bestFit="1" customWidth="1"/>
    <col min="5" max="5" width="11.42578125" bestFit="1" customWidth="1"/>
    <col min="6" max="6" width="11.42578125" customWidth="1"/>
  </cols>
  <sheetData>
    <row r="1" spans="1:6">
      <c r="A1" t="s">
        <v>131</v>
      </c>
      <c r="B1" t="s">
        <v>129</v>
      </c>
      <c r="C1" t="s">
        <v>130</v>
      </c>
      <c r="D1" t="s">
        <v>96</v>
      </c>
      <c r="E1" t="s">
        <v>97</v>
      </c>
      <c r="F1" t="s">
        <v>261</v>
      </c>
    </row>
    <row r="2" spans="1:6">
      <c r="A2">
        <f>IF(Club1!E8="","",Club1!E8)</f>
        <v>1000</v>
      </c>
      <c r="B2">
        <f>IF(Club1!A8="","",Club1!A8)</f>
        <v>1</v>
      </c>
      <c r="C2" t="str">
        <f>IF(Club1!B8="","",Club1!B8)</f>
        <v>C</v>
      </c>
      <c r="D2" t="str">
        <f>IF(Club1!C8="","",Club1!C8)</f>
        <v>A</v>
      </c>
      <c r="E2" t="str">
        <f>IF(Club1!D8="","",Club1!D8)</f>
        <v>a</v>
      </c>
      <c r="F2" t="str">
        <f>IF(Club1!$C$1="","",Club1!$C$1)</f>
        <v>a-Team</v>
      </c>
    </row>
    <row r="3" spans="1:6">
      <c r="A3">
        <f>IF(Club1!E9="","",Club1!E9)</f>
        <v>1001</v>
      </c>
      <c r="B3">
        <f>IF(Club1!A9="","",Club1!A9)</f>
        <v>2</v>
      </c>
      <c r="C3" t="str">
        <f>IF(Club1!B9="","",Club1!B9)</f>
        <v>A</v>
      </c>
      <c r="D3" t="str">
        <f>IF(Club1!C9="","",Club1!C9)</f>
        <v>A</v>
      </c>
      <c r="E3" t="str">
        <f>IF(Club1!D9="","",Club1!D9)</f>
        <v>b</v>
      </c>
      <c r="F3" t="str">
        <f>IF(Club1!$C$1="","",Club1!$C$1)</f>
        <v>a-Team</v>
      </c>
    </row>
    <row r="4" spans="1:6">
      <c r="A4">
        <f>IF(Club1!E10="","",Club1!E10)</f>
        <v>1002</v>
      </c>
      <c r="B4">
        <f>IF(Club1!A10="","",Club1!A10)</f>
        <v>3</v>
      </c>
      <c r="C4" t="str">
        <f>IF(Club1!B10="","",Club1!B10)</f>
        <v>G</v>
      </c>
      <c r="D4" t="str">
        <f>IF(Club1!C10="","",Club1!C10)</f>
        <v>A</v>
      </c>
      <c r="E4" t="str">
        <f>IF(Club1!D10="","",Club1!D10)</f>
        <v>c</v>
      </c>
      <c r="F4" t="str">
        <f>IF(Club1!$C$1="","",Club1!$C$1)</f>
        <v>a-Team</v>
      </c>
    </row>
    <row r="5" spans="1:6">
      <c r="A5">
        <f>IF(Club1!E11="","",Club1!E11)</f>
        <v>1003</v>
      </c>
      <c r="B5">
        <f>IF(Club1!A11="","",Club1!A11)</f>
        <v>4</v>
      </c>
      <c r="C5" t="str">
        <f>IF(Club1!B11="","",Club1!B11)</f>
        <v>G</v>
      </c>
      <c r="D5" t="str">
        <f>IF(Club1!C11="","",Club1!C11)</f>
        <v>A</v>
      </c>
      <c r="E5" t="str">
        <f>IF(Club1!D11="","",Club1!D11)</f>
        <v>d</v>
      </c>
      <c r="F5" t="str">
        <f>IF(Club1!$C$1="","",Club1!$C$1)</f>
        <v>a-Team</v>
      </c>
    </row>
    <row r="6" spans="1:6">
      <c r="A6">
        <f>IF(Club1!E12="","",Club1!E12)</f>
        <v>1004</v>
      </c>
      <c r="B6">
        <f>IF(Club1!A12="","",Club1!A12)</f>
        <v>5</v>
      </c>
      <c r="C6" t="str">
        <f>IF(Club1!B12="","",Club1!B12)</f>
        <v>F</v>
      </c>
      <c r="D6" t="str">
        <f>IF(Club1!C12="","",Club1!C12)</f>
        <v>A</v>
      </c>
      <c r="E6" t="str">
        <f>IF(Club1!D12="","",Club1!D12)</f>
        <v>e</v>
      </c>
      <c r="F6" t="str">
        <f>IF(Club1!$C$1="","",Club1!$C$1)</f>
        <v>a-Team</v>
      </c>
    </row>
    <row r="7" spans="1:6">
      <c r="A7">
        <f>IF(Club1!E13="","",Club1!E13)</f>
        <v>1005</v>
      </c>
      <c r="B7">
        <f>IF(Club1!A13="","",Club1!A13)</f>
        <v>6</v>
      </c>
      <c r="C7" t="str">
        <f>IF(Club1!B13="","",Club1!B13)</f>
        <v>F</v>
      </c>
      <c r="D7" t="str">
        <f>IF(Club1!C13="","",Club1!C13)</f>
        <v>A</v>
      </c>
      <c r="E7" t="str">
        <f>IF(Club1!D13="","",Club1!D13)</f>
        <v>f</v>
      </c>
      <c r="F7" t="str">
        <f>IF(Club1!$C$1="","",Club1!$C$1)</f>
        <v>a-Team</v>
      </c>
    </row>
    <row r="8" spans="1:6">
      <c r="A8">
        <f>IF(Club1!E14="","",Club1!E14)</f>
        <v>1006</v>
      </c>
      <c r="B8">
        <f>IF(Club1!A14="","",Club1!A14)</f>
        <v>7</v>
      </c>
      <c r="C8" t="str">
        <f>IF(Club1!B14="","",Club1!B14)</f>
        <v>F</v>
      </c>
      <c r="D8" t="str">
        <f>IF(Club1!C14="","",Club1!C14)</f>
        <v>A</v>
      </c>
      <c r="E8" t="str">
        <f>IF(Club1!D14="","",Club1!D14)</f>
        <v>g</v>
      </c>
      <c r="F8" t="str">
        <f>IF(Club1!$C$1="","",Club1!$C$1)</f>
        <v>a-Team</v>
      </c>
    </row>
    <row r="9" spans="1:6">
      <c r="A9">
        <f>IF(Club1!E15="","",Club1!E15)</f>
        <v>1007</v>
      </c>
      <c r="B9">
        <f>IF(Club1!A15="","",Club1!A15)</f>
        <v>8</v>
      </c>
      <c r="C9" t="str">
        <f>IF(Club1!B15="","",Club1!B15)</f>
        <v>F</v>
      </c>
      <c r="D9" t="str">
        <f>IF(Club1!C15="","",Club1!C15)</f>
        <v>A</v>
      </c>
      <c r="E9" t="str">
        <f>IF(Club1!D15="","",Club1!D15)</f>
        <v>h</v>
      </c>
      <c r="F9" t="str">
        <f>IF(Club1!$C$1="","",Club1!$C$1)</f>
        <v>a-Team</v>
      </c>
    </row>
    <row r="10" spans="1:6">
      <c r="A10">
        <f>IF(Club1!E16="","",Club1!E16)</f>
        <v>1008</v>
      </c>
      <c r="B10">
        <f>IF(Club1!A16="","",Club1!A16)</f>
        <v>9</v>
      </c>
      <c r="C10" t="str">
        <f>IF(Club1!B16="","",Club1!B16)</f>
        <v>F</v>
      </c>
      <c r="D10" t="str">
        <f>IF(Club1!C16="","",Club1!C16)</f>
        <v>A</v>
      </c>
      <c r="E10" t="str">
        <f>IF(Club1!D16="","",Club1!D16)</f>
        <v>i</v>
      </c>
      <c r="F10" t="str">
        <f>IF(Club1!$C$1="","",Club1!$C$1)</f>
        <v>a-Team</v>
      </c>
    </row>
    <row r="11" spans="1:6">
      <c r="A11">
        <f>IF(Club1!E17="","",Club1!E17)</f>
        <v>1009</v>
      </c>
      <c r="B11">
        <f>IF(Club1!A17="","",Club1!A17)</f>
        <v>10</v>
      </c>
      <c r="C11" t="str">
        <f>IF(Club1!B17="","",Club1!B17)</f>
        <v>F</v>
      </c>
      <c r="D11" t="str">
        <f>IF(Club1!C17="","",Club1!C17)</f>
        <v>A</v>
      </c>
      <c r="E11" t="str">
        <f>IF(Club1!D17="","",Club1!D17)</f>
        <v>j</v>
      </c>
      <c r="F11" t="str">
        <f>IF(Club1!$C$1="","",Club1!$C$1)</f>
        <v>a-Team</v>
      </c>
    </row>
    <row r="12" spans="1:6">
      <c r="A12">
        <f>IF(Club1!E18="","",Club1!E18)</f>
        <v>1010</v>
      </c>
      <c r="B12">
        <f>IF(Club1!A18="","",Club1!A18)</f>
        <v>11</v>
      </c>
      <c r="C12" t="str">
        <f>IF(Club1!B18="","",Club1!B18)</f>
        <v>F</v>
      </c>
      <c r="D12" t="str">
        <f>IF(Club1!C18="","",Club1!C18)</f>
        <v>A</v>
      </c>
      <c r="E12" t="str">
        <f>IF(Club1!D18="","",Club1!D18)</f>
        <v>k</v>
      </c>
      <c r="F12" t="str">
        <f>IF(Club1!$C$1="","",Club1!$C$1)</f>
        <v>a-Team</v>
      </c>
    </row>
    <row r="13" spans="1:6">
      <c r="A13">
        <f>IF(Club1!E19="","",Club1!E19)</f>
        <v>1011</v>
      </c>
      <c r="B13">
        <f>IF(Club1!A19="","",Club1!A19)</f>
        <v>12</v>
      </c>
      <c r="C13" t="str">
        <f>IF(Club1!B19="","",Club1!B19)</f>
        <v>F</v>
      </c>
      <c r="D13" t="str">
        <f>IF(Club1!C19="","",Club1!C19)</f>
        <v>A</v>
      </c>
      <c r="E13" t="str">
        <f>IF(Club1!D19="","",Club1!D19)</f>
        <v>l</v>
      </c>
      <c r="F13" t="str">
        <f>IF(Club1!$C$1="","",Club1!$C$1)</f>
        <v>a-Team</v>
      </c>
    </row>
    <row r="14" spans="1:6">
      <c r="A14">
        <f>IF(Club1!E20="","",Club1!E20)</f>
        <v>1012</v>
      </c>
      <c r="B14">
        <f>IF(Club1!A20="","",Club1!A20)</f>
        <v>13</v>
      </c>
      <c r="C14" t="str">
        <f>IF(Club1!B20="","",Club1!B20)</f>
        <v>F</v>
      </c>
      <c r="D14" t="str">
        <f>IF(Club1!C20="","",Club1!C20)</f>
        <v>A</v>
      </c>
      <c r="E14" t="str">
        <f>IF(Club1!D20="","",Club1!D20)</f>
        <v>m</v>
      </c>
      <c r="F14" t="str">
        <f>IF(Club1!$C$1="","",Club1!$C$1)</f>
        <v>a-Team</v>
      </c>
    </row>
    <row r="15" spans="1:6">
      <c r="A15">
        <f>IF(Club1!E21="","",Club1!E21)</f>
        <v>1013</v>
      </c>
      <c r="B15">
        <f>IF(Club1!A21="","",Club1!A21)</f>
        <v>14</v>
      </c>
      <c r="C15" t="str">
        <f>IF(Club1!B21="","",Club1!B21)</f>
        <v>F</v>
      </c>
      <c r="D15" t="str">
        <f>IF(Club1!C21="","",Club1!C21)</f>
        <v>A</v>
      </c>
      <c r="E15" t="str">
        <f>IF(Club1!D21="","",Club1!D21)</f>
        <v>n</v>
      </c>
      <c r="F15" t="str">
        <f>IF(Club1!$C$1="","",Club1!$C$1)</f>
        <v>a-Team</v>
      </c>
    </row>
    <row r="16" spans="1:6">
      <c r="A16">
        <f>IF(Club1!E22="","",Club1!E22)</f>
        <v>1014</v>
      </c>
      <c r="B16">
        <f>IF(Club1!A22="","",Club1!A22)</f>
        <v>15</v>
      </c>
      <c r="C16" t="str">
        <f>IF(Club1!B22="","",Club1!B22)</f>
        <v>F</v>
      </c>
      <c r="D16" t="str">
        <f>IF(Club1!C22="","",Club1!C22)</f>
        <v>A</v>
      </c>
      <c r="E16" t="str">
        <f>IF(Club1!D22="","",Club1!D22)</f>
        <v>o</v>
      </c>
      <c r="F16" t="str">
        <f>IF(Club1!$C$1="","",Club1!$C$1)</f>
        <v>a-Team</v>
      </c>
    </row>
    <row r="17" spans="1:6">
      <c r="A17">
        <f>IF(Club1!E23="","",Club1!E23)</f>
        <v>1015</v>
      </c>
      <c r="B17">
        <f>IF(Club1!A23="","",Club1!A23)</f>
        <v>16</v>
      </c>
      <c r="C17" t="str">
        <f>IF(Club1!B23="","",Club1!B23)</f>
        <v>F</v>
      </c>
      <c r="D17" t="str">
        <f>IF(Club1!C23="","",Club1!C23)</f>
        <v>A</v>
      </c>
      <c r="E17" t="str">
        <f>IF(Club1!D23="","",Club1!D23)</f>
        <v>p</v>
      </c>
      <c r="F17" t="str">
        <f>IF(Club1!$C$1="","",Club1!$C$1)</f>
        <v>a-Team</v>
      </c>
    </row>
    <row r="18" spans="1:6">
      <c r="A18">
        <f>IF(Club1!E24="","",Club1!E24)</f>
        <v>1016</v>
      </c>
      <c r="B18">
        <f>IF(Club1!A24="","",Club1!A24)</f>
        <v>17</v>
      </c>
      <c r="C18" t="str">
        <f>IF(Club1!B24="","",Club1!B24)</f>
        <v>F</v>
      </c>
      <c r="D18" t="str">
        <f>IF(Club1!C24="","",Club1!C24)</f>
        <v>A</v>
      </c>
      <c r="E18" t="str">
        <f>IF(Club1!D24="","",Club1!D24)</f>
        <v>q</v>
      </c>
      <c r="F18" t="str">
        <f>IF(Club1!$C$1="","",Club1!$C$1)</f>
        <v>a-Team</v>
      </c>
    </row>
    <row r="19" spans="1:6">
      <c r="A19">
        <f>IF(Club1!E25="","",Club1!E25)</f>
        <v>1017</v>
      </c>
      <c r="B19">
        <f>IF(Club1!A25="","",Club1!A25)</f>
        <v>18</v>
      </c>
      <c r="C19" t="str">
        <f>IF(Club1!B25="","",Club1!B25)</f>
        <v>F</v>
      </c>
      <c r="D19" t="str">
        <f>IF(Club1!C25="","",Club1!C25)</f>
        <v>A</v>
      </c>
      <c r="E19" t="str">
        <f>IF(Club1!D25="","",Club1!D25)</f>
        <v>r</v>
      </c>
      <c r="F19" t="str">
        <f>IF(Club1!$C$1="","",Club1!$C$1)</f>
        <v>a-Team</v>
      </c>
    </row>
    <row r="20" spans="1:6">
      <c r="A20">
        <f>IF(Club2!E8="","",Club2!E8)</f>
        <v>2001</v>
      </c>
      <c r="B20">
        <f>IF(Club2!A8="","",Club2!A8)</f>
        <v>1</v>
      </c>
      <c r="C20" t="str">
        <f>IF(Club2!B8="","",Club2!B8)</f>
        <v>C</v>
      </c>
      <c r="D20" t="str">
        <f>IF(Club2!C8="","",Club2!C8)</f>
        <v>B</v>
      </c>
      <c r="E20" t="str">
        <f>IF(Club2!D8="","",Club2!D8)</f>
        <v>a</v>
      </c>
      <c r="F20" t="str">
        <f>IF(Club2!$C$1="","",Club2!$C$1)</f>
        <v>b-Team</v>
      </c>
    </row>
    <row r="21" spans="1:6">
      <c r="A21">
        <f>IF(Club2!E9="","",Club2!E9)</f>
        <v>2002</v>
      </c>
      <c r="B21">
        <f>IF(Club2!A9="","",Club2!A9)</f>
        <v>2</v>
      </c>
      <c r="C21" t="str">
        <f>IF(Club2!B9="","",Club2!B9)</f>
        <v>A</v>
      </c>
      <c r="D21" t="str">
        <f>IF(Club2!C9="","",Club2!C9)</f>
        <v>B</v>
      </c>
      <c r="E21" t="str">
        <f>IF(Club2!D9="","",Club2!D9)</f>
        <v>b</v>
      </c>
      <c r="F21" t="str">
        <f>IF(Club2!$C$1="","",Club2!$C$1)</f>
        <v>b-Team</v>
      </c>
    </row>
    <row r="22" spans="1:6">
      <c r="A22">
        <f>IF(Club2!E10="","",Club2!E10)</f>
        <v>2003</v>
      </c>
      <c r="B22">
        <f>IF(Club2!A10="","",Club2!A10)</f>
        <v>3</v>
      </c>
      <c r="C22" t="str">
        <f>IF(Club2!B10="","",Club2!B10)</f>
        <v>G</v>
      </c>
      <c r="D22" t="str">
        <f>IF(Club2!C10="","",Club2!C10)</f>
        <v>B</v>
      </c>
      <c r="E22" t="str">
        <f>IF(Club2!D10="","",Club2!D10)</f>
        <v>c</v>
      </c>
      <c r="F22" t="str">
        <f>IF(Club2!$C$1="","",Club2!$C$1)</f>
        <v>b-Team</v>
      </c>
    </row>
    <row r="23" spans="1:6">
      <c r="A23">
        <f>IF(Club2!E11="","",Club2!E11)</f>
        <v>2004</v>
      </c>
      <c r="B23">
        <f>IF(Club2!A11="","",Club2!A11)</f>
        <v>4</v>
      </c>
      <c r="C23" t="str">
        <f>IF(Club2!B11="","",Club2!B11)</f>
        <v>G</v>
      </c>
      <c r="D23" t="str">
        <f>IF(Club2!C11="","",Club2!C11)</f>
        <v>B</v>
      </c>
      <c r="E23" t="str">
        <f>IF(Club2!D11="","",Club2!D11)</f>
        <v>d</v>
      </c>
      <c r="F23" t="str">
        <f>IF(Club2!$C$1="","",Club2!$C$1)</f>
        <v>b-Team</v>
      </c>
    </row>
    <row r="24" spans="1:6">
      <c r="A24">
        <f>IF(Club2!E12="","",Club2!E12)</f>
        <v>2005</v>
      </c>
      <c r="B24">
        <f>IF(Club2!A12="","",Club2!A12)</f>
        <v>5</v>
      </c>
      <c r="C24" t="str">
        <f>IF(Club2!B12="","",Club2!B12)</f>
        <v>F</v>
      </c>
      <c r="D24" t="str">
        <f>IF(Club2!C12="","",Club2!C12)</f>
        <v>B</v>
      </c>
      <c r="E24" t="str">
        <f>IF(Club2!D12="","",Club2!D12)</f>
        <v>e</v>
      </c>
      <c r="F24" t="str">
        <f>IF(Club2!$C$1="","",Club2!$C$1)</f>
        <v>b-Team</v>
      </c>
    </row>
    <row r="25" spans="1:6">
      <c r="A25">
        <f>IF(Club2!E13="","",Club2!E13)</f>
        <v>2006</v>
      </c>
      <c r="B25">
        <f>IF(Club2!A13="","",Club2!A13)</f>
        <v>6</v>
      </c>
      <c r="C25" t="str">
        <f>IF(Club2!B13="","",Club2!B13)</f>
        <v>F</v>
      </c>
      <c r="D25" t="str">
        <f>IF(Club2!C13="","",Club2!C13)</f>
        <v>B</v>
      </c>
      <c r="E25" t="str">
        <f>IF(Club2!D13="","",Club2!D13)</f>
        <v>f</v>
      </c>
      <c r="F25" t="str">
        <f>IF(Club2!$C$1="","",Club2!$C$1)</f>
        <v>b-Team</v>
      </c>
    </row>
    <row r="26" spans="1:6">
      <c r="A26">
        <f>IF(Club2!E14="","",Club2!E14)</f>
        <v>2007</v>
      </c>
      <c r="B26">
        <f>IF(Club2!A14="","",Club2!A14)</f>
        <v>7</v>
      </c>
      <c r="C26" t="str">
        <f>IF(Club2!B14="","",Club2!B14)</f>
        <v>F</v>
      </c>
      <c r="D26" t="str">
        <f>IF(Club2!C14="","",Club2!C14)</f>
        <v>B</v>
      </c>
      <c r="E26" t="str">
        <f>IF(Club2!D14="","",Club2!D14)</f>
        <v>g</v>
      </c>
      <c r="F26" t="str">
        <f>IF(Club2!$C$1="","",Club2!$C$1)</f>
        <v>b-Team</v>
      </c>
    </row>
    <row r="27" spans="1:6">
      <c r="A27">
        <f>IF(Club2!E15="","",Club2!E15)</f>
        <v>2008</v>
      </c>
      <c r="B27">
        <f>IF(Club2!A15="","",Club2!A15)</f>
        <v>8</v>
      </c>
      <c r="C27" t="str">
        <f>IF(Club2!B15="","",Club2!B15)</f>
        <v>F</v>
      </c>
      <c r="D27" t="str">
        <f>IF(Club2!C15="","",Club2!C15)</f>
        <v>B</v>
      </c>
      <c r="E27" t="str">
        <f>IF(Club2!D15="","",Club2!D15)</f>
        <v>h</v>
      </c>
      <c r="F27" t="str">
        <f>IF(Club2!$C$1="","",Club2!$C$1)</f>
        <v>b-Team</v>
      </c>
    </row>
    <row r="28" spans="1:6">
      <c r="A28">
        <f>IF(Club2!E16="","",Club2!E16)</f>
        <v>2009</v>
      </c>
      <c r="B28">
        <f>IF(Club2!A16="","",Club2!A16)</f>
        <v>9</v>
      </c>
      <c r="C28" t="str">
        <f>IF(Club2!B16="","",Club2!B16)</f>
        <v>F</v>
      </c>
      <c r="D28" t="str">
        <f>IF(Club2!C16="","",Club2!C16)</f>
        <v>B</v>
      </c>
      <c r="E28" t="str">
        <f>IF(Club2!D16="","",Club2!D16)</f>
        <v>i</v>
      </c>
      <c r="F28" t="str">
        <f>IF(Club2!$C$1="","",Club2!$C$1)</f>
        <v>b-Team</v>
      </c>
    </row>
    <row r="29" spans="1:6">
      <c r="A29">
        <f>IF(Club2!E17="","",Club2!E17)</f>
        <v>2010</v>
      </c>
      <c r="B29">
        <f>IF(Club2!A17="","",Club2!A17)</f>
        <v>10</v>
      </c>
      <c r="C29" t="str">
        <f>IF(Club2!B17="","",Club2!B17)</f>
        <v>F</v>
      </c>
      <c r="D29" t="str">
        <f>IF(Club2!C17="","",Club2!C17)</f>
        <v>B</v>
      </c>
      <c r="E29" t="str">
        <f>IF(Club2!D17="","",Club2!D17)</f>
        <v>j</v>
      </c>
      <c r="F29" t="str">
        <f>IF(Club2!$C$1="","",Club2!$C$1)</f>
        <v>b-Team</v>
      </c>
    </row>
    <row r="30" spans="1:6">
      <c r="A30">
        <f>IF(Club2!E18="","",Club2!E18)</f>
        <v>2011</v>
      </c>
      <c r="B30">
        <f>IF(Club2!A18="","",Club2!A18)</f>
        <v>11</v>
      </c>
      <c r="C30" t="str">
        <f>IF(Club2!B18="","",Club2!B18)</f>
        <v>F</v>
      </c>
      <c r="D30" t="str">
        <f>IF(Club2!C18="","",Club2!C18)</f>
        <v>B</v>
      </c>
      <c r="E30" t="str">
        <f>IF(Club2!D18="","",Club2!D18)</f>
        <v>k</v>
      </c>
      <c r="F30" t="str">
        <f>IF(Club2!$C$1="","",Club2!$C$1)</f>
        <v>b-Team</v>
      </c>
    </row>
    <row r="31" spans="1:6">
      <c r="A31">
        <f>IF(Club2!E19="","",Club2!E19)</f>
        <v>2012</v>
      </c>
      <c r="B31">
        <f>IF(Club2!A19="","",Club2!A19)</f>
        <v>12</v>
      </c>
      <c r="C31" t="str">
        <f>IF(Club2!B19="","",Club2!B19)</f>
        <v>F</v>
      </c>
      <c r="D31" t="str">
        <f>IF(Club2!C19="","",Club2!C19)</f>
        <v>B</v>
      </c>
      <c r="E31" t="str">
        <f>IF(Club2!D19="","",Club2!D19)</f>
        <v>l</v>
      </c>
      <c r="F31" t="str">
        <f>IF(Club2!$C$1="","",Club2!$C$1)</f>
        <v>b-Team</v>
      </c>
    </row>
    <row r="32" spans="1:6">
      <c r="A32">
        <f>IF(Club2!E20="","",Club2!E20)</f>
        <v>2013</v>
      </c>
      <c r="B32">
        <f>IF(Club2!A20="","",Club2!A20)</f>
        <v>13</v>
      </c>
      <c r="C32" t="str">
        <f>IF(Club2!B20="","",Club2!B20)</f>
        <v>F</v>
      </c>
      <c r="D32" t="str">
        <f>IF(Club2!C20="","",Club2!C20)</f>
        <v>B</v>
      </c>
      <c r="E32" t="str">
        <f>IF(Club2!D20="","",Club2!D20)</f>
        <v>m</v>
      </c>
      <c r="F32" t="str">
        <f>IF(Club2!$C$1="","",Club2!$C$1)</f>
        <v>b-Team</v>
      </c>
    </row>
    <row r="33" spans="1:6">
      <c r="A33">
        <f>IF(Club2!E21="","",Club2!E21)</f>
        <v>2014</v>
      </c>
      <c r="B33">
        <f>IF(Club2!A21="","",Club2!A21)</f>
        <v>14</v>
      </c>
      <c r="C33" t="str">
        <f>IF(Club2!B21="","",Club2!B21)</f>
        <v>F</v>
      </c>
      <c r="D33" t="str">
        <f>IF(Club2!C21="","",Club2!C21)</f>
        <v>B</v>
      </c>
      <c r="E33" t="str">
        <f>IF(Club2!D21="","",Club2!D21)</f>
        <v>n</v>
      </c>
      <c r="F33" t="str">
        <f>IF(Club2!$C$1="","",Club2!$C$1)</f>
        <v>b-Team</v>
      </c>
    </row>
    <row r="34" spans="1:6">
      <c r="A34">
        <f>IF(Club2!E22="","",Club2!E22)</f>
        <v>2015</v>
      </c>
      <c r="B34">
        <f>IF(Club2!A22="","",Club2!A22)</f>
        <v>15</v>
      </c>
      <c r="C34" t="str">
        <f>IF(Club2!B22="","",Club2!B22)</f>
        <v>F</v>
      </c>
      <c r="D34" t="str">
        <f>IF(Club2!C22="","",Club2!C22)</f>
        <v>B</v>
      </c>
      <c r="E34" t="str">
        <f>IF(Club2!D22="","",Club2!D22)</f>
        <v>o</v>
      </c>
      <c r="F34" t="str">
        <f>IF(Club2!$C$1="","",Club2!$C$1)</f>
        <v>b-Team</v>
      </c>
    </row>
    <row r="35" spans="1:6">
      <c r="A35">
        <f>IF(Club2!E23="","",Club2!E23)</f>
        <v>2016</v>
      </c>
      <c r="B35">
        <f>IF(Club2!A23="","",Club2!A23)</f>
        <v>16</v>
      </c>
      <c r="C35" t="str">
        <f>IF(Club2!B23="","",Club2!B23)</f>
        <v>F</v>
      </c>
      <c r="D35" t="str">
        <f>IF(Club2!C23="","",Club2!C23)</f>
        <v>B</v>
      </c>
      <c r="E35" t="str">
        <f>IF(Club2!D23="","",Club2!D23)</f>
        <v>p</v>
      </c>
      <c r="F35" t="str">
        <f>IF(Club2!$C$1="","",Club2!$C$1)</f>
        <v>b-Team</v>
      </c>
    </row>
    <row r="36" spans="1:6">
      <c r="A36">
        <f>IF(Club2!E24="","",Club2!E24)</f>
        <v>2017</v>
      </c>
      <c r="B36">
        <f>IF(Club2!A24="","",Club2!A24)</f>
        <v>17</v>
      </c>
      <c r="C36" t="str">
        <f>IF(Club2!B24="","",Club2!B24)</f>
        <v>F</v>
      </c>
      <c r="D36" t="str">
        <f>IF(Club2!C24="","",Club2!C24)</f>
        <v>B</v>
      </c>
      <c r="E36" t="str">
        <f>IF(Club2!D24="","",Club2!D24)</f>
        <v>q</v>
      </c>
      <c r="F36" t="str">
        <f>IF(Club2!$C$1="","",Club2!$C$1)</f>
        <v>b-Team</v>
      </c>
    </row>
    <row r="37" spans="1:6">
      <c r="A37">
        <f>IF(Club2!E25="","",Club2!E25)</f>
        <v>2018</v>
      </c>
      <c r="B37">
        <f>IF(Club2!A25="","",Club2!A25)</f>
        <v>18</v>
      </c>
      <c r="C37" t="str">
        <f>IF(Club2!B25="","",Club2!B25)</f>
        <v>F</v>
      </c>
      <c r="D37" t="str">
        <f>IF(Club2!C25="","",Club2!C25)</f>
        <v>B</v>
      </c>
      <c r="E37" t="str">
        <f>IF(Club2!D25="","",Club2!D25)</f>
        <v>r</v>
      </c>
      <c r="F37" t="str">
        <f>IF(Club2!$C$1="","",Club2!$C$1)</f>
        <v>b-Team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4F62-AE6E-4BAC-9A57-1C9403CBA586}">
  <sheetPr codeName="Tabelle5">
    <tabColor rgb="FF92D050"/>
  </sheetPr>
  <dimension ref="A1:G27"/>
  <sheetViews>
    <sheetView showGridLines="0" showRowColHeaders="0" zoomScale="150" zoomScaleNormal="150" workbookViewId="0">
      <pane ySplit="7" topLeftCell="A8" activePane="bottomLeft" state="frozen"/>
      <selection activeCell="D14" sqref="D14"/>
      <selection pane="bottomLeft" activeCell="E15" sqref="E15"/>
    </sheetView>
  </sheetViews>
  <sheetFormatPr baseColWidth="10" defaultColWidth="11.42578125" defaultRowHeight="15"/>
  <cols>
    <col min="1" max="1" width="16" style="102" bestFit="1" customWidth="1"/>
    <col min="2" max="2" width="11.140625" style="102" bestFit="1" customWidth="1"/>
    <col min="3" max="3" width="25.28515625" style="102" customWidth="1"/>
    <col min="4" max="4" width="25.5703125" style="102" customWidth="1"/>
    <col min="5" max="5" width="14.7109375" style="102" bestFit="1" customWidth="1"/>
    <col min="6" max="6" width="13.5703125" style="102" bestFit="1" customWidth="1"/>
    <col min="7" max="7" width="3" style="102" bestFit="1" customWidth="1"/>
    <col min="8" max="8" width="3" style="102" customWidth="1"/>
    <col min="9" max="16384" width="11.42578125" style="102"/>
  </cols>
  <sheetData>
    <row r="1" spans="1:7" ht="23.25">
      <c r="A1" s="384" t="s">
        <v>267</v>
      </c>
      <c r="B1" s="384"/>
      <c r="C1" s="385" t="s">
        <v>344</v>
      </c>
      <c r="D1" s="386"/>
      <c r="E1" s="304">
        <v>1</v>
      </c>
      <c r="F1" s="102" t="s">
        <v>133</v>
      </c>
      <c r="G1" s="102">
        <f>COUNTA(E8:E25)</f>
        <v>18</v>
      </c>
    </row>
    <row r="2" spans="1:7" ht="23.25">
      <c r="A2" s="384" t="s">
        <v>132</v>
      </c>
      <c r="B2" s="384"/>
      <c r="C2" s="383" t="s">
        <v>327</v>
      </c>
      <c r="D2" s="383"/>
      <c r="E2" s="383"/>
    </row>
    <row r="4" spans="1:7">
      <c r="B4" s="299" t="s">
        <v>274</v>
      </c>
      <c r="C4" s="299" t="s">
        <v>96</v>
      </c>
      <c r="D4" s="299" t="s">
        <v>97</v>
      </c>
    </row>
    <row r="5" spans="1:7">
      <c r="C5" s="303" t="s">
        <v>8</v>
      </c>
      <c r="D5" s="303" t="s">
        <v>342</v>
      </c>
    </row>
    <row r="7" spans="1:7">
      <c r="A7" s="102" t="s">
        <v>129</v>
      </c>
      <c r="B7" s="102" t="s">
        <v>130</v>
      </c>
      <c r="C7" s="102" t="s">
        <v>96</v>
      </c>
      <c r="D7" s="102" t="s">
        <v>97</v>
      </c>
      <c r="E7" s="102" t="s">
        <v>131</v>
      </c>
    </row>
    <row r="8" spans="1:7">
      <c r="A8" s="300">
        <v>1</v>
      </c>
      <c r="B8" s="256" t="s">
        <v>20</v>
      </c>
      <c r="C8" s="301" t="s">
        <v>8</v>
      </c>
      <c r="D8" s="301" t="s">
        <v>323</v>
      </c>
      <c r="E8" s="301">
        <v>1000</v>
      </c>
    </row>
    <row r="9" spans="1:7">
      <c r="A9" s="300">
        <v>2</v>
      </c>
      <c r="B9" s="256" t="s">
        <v>8</v>
      </c>
      <c r="C9" s="301" t="s">
        <v>8</v>
      </c>
      <c r="D9" s="301" t="s">
        <v>324</v>
      </c>
      <c r="E9" s="301">
        <v>1001</v>
      </c>
    </row>
    <row r="10" spans="1:7">
      <c r="A10" s="300">
        <v>3</v>
      </c>
      <c r="B10" s="256" t="s">
        <v>7</v>
      </c>
      <c r="C10" s="301" t="s">
        <v>8</v>
      </c>
      <c r="D10" s="301" t="s">
        <v>325</v>
      </c>
      <c r="E10" s="301">
        <v>1002</v>
      </c>
    </row>
    <row r="11" spans="1:7">
      <c r="A11" s="300">
        <v>4</v>
      </c>
      <c r="B11" s="256" t="s">
        <v>7</v>
      </c>
      <c r="C11" s="301" t="s">
        <v>8</v>
      </c>
      <c r="D11" s="301" t="s">
        <v>326</v>
      </c>
      <c r="E11" s="301">
        <v>1003</v>
      </c>
    </row>
    <row r="12" spans="1:7">
      <c r="A12" s="300">
        <v>5</v>
      </c>
      <c r="B12" s="256" t="s">
        <v>25</v>
      </c>
      <c r="C12" s="302" t="s">
        <v>8</v>
      </c>
      <c r="D12" s="301" t="s">
        <v>328</v>
      </c>
      <c r="E12" s="301">
        <v>1004</v>
      </c>
    </row>
    <row r="13" spans="1:7">
      <c r="A13" s="300">
        <v>6</v>
      </c>
      <c r="B13" s="256" t="s">
        <v>25</v>
      </c>
      <c r="C13" s="302" t="s">
        <v>8</v>
      </c>
      <c r="D13" s="301" t="s">
        <v>329</v>
      </c>
      <c r="E13" s="301">
        <v>1005</v>
      </c>
    </row>
    <row r="14" spans="1:7">
      <c r="A14" s="300">
        <v>7</v>
      </c>
      <c r="B14" s="256" t="s">
        <v>25</v>
      </c>
      <c r="C14" s="302" t="s">
        <v>8</v>
      </c>
      <c r="D14" s="301" t="s">
        <v>330</v>
      </c>
      <c r="E14" s="301">
        <v>1006</v>
      </c>
    </row>
    <row r="15" spans="1:7">
      <c r="A15" s="300">
        <v>8</v>
      </c>
      <c r="B15" s="256" t="s">
        <v>25</v>
      </c>
      <c r="C15" s="301" t="s">
        <v>8</v>
      </c>
      <c r="D15" s="301" t="s">
        <v>331</v>
      </c>
      <c r="E15" s="301">
        <v>1007</v>
      </c>
    </row>
    <row r="16" spans="1:7">
      <c r="A16" s="300">
        <v>9</v>
      </c>
      <c r="B16" s="256" t="s">
        <v>25</v>
      </c>
      <c r="C16" s="301" t="s">
        <v>8</v>
      </c>
      <c r="D16" s="301" t="s">
        <v>332</v>
      </c>
      <c r="E16" s="301">
        <v>1008</v>
      </c>
    </row>
    <row r="17" spans="1:5">
      <c r="A17" s="300">
        <v>10</v>
      </c>
      <c r="B17" s="256" t="s">
        <v>25</v>
      </c>
      <c r="C17" s="301" t="s">
        <v>8</v>
      </c>
      <c r="D17" s="301" t="s">
        <v>333</v>
      </c>
      <c r="E17" s="301">
        <v>1009</v>
      </c>
    </row>
    <row r="18" spans="1:5">
      <c r="A18" s="300">
        <v>11</v>
      </c>
      <c r="B18" s="256" t="s">
        <v>25</v>
      </c>
      <c r="C18" s="301" t="s">
        <v>8</v>
      </c>
      <c r="D18" s="301" t="s">
        <v>334</v>
      </c>
      <c r="E18" s="301">
        <v>1010</v>
      </c>
    </row>
    <row r="19" spans="1:5">
      <c r="A19" s="300">
        <v>12</v>
      </c>
      <c r="B19" s="256" t="s">
        <v>25</v>
      </c>
      <c r="C19" s="301" t="s">
        <v>8</v>
      </c>
      <c r="D19" s="301" t="s">
        <v>335</v>
      </c>
      <c r="E19" s="301">
        <v>1011</v>
      </c>
    </row>
    <row r="20" spans="1:5">
      <c r="A20" s="300">
        <v>13</v>
      </c>
      <c r="B20" s="256" t="s">
        <v>25</v>
      </c>
      <c r="C20" s="301" t="s">
        <v>8</v>
      </c>
      <c r="D20" s="301" t="s">
        <v>336</v>
      </c>
      <c r="E20" s="301">
        <v>1012</v>
      </c>
    </row>
    <row r="21" spans="1:5">
      <c r="A21" s="300">
        <v>14</v>
      </c>
      <c r="B21" s="256" t="s">
        <v>25</v>
      </c>
      <c r="C21" s="301" t="s">
        <v>8</v>
      </c>
      <c r="D21" s="301" t="s">
        <v>337</v>
      </c>
      <c r="E21" s="301">
        <v>1013</v>
      </c>
    </row>
    <row r="22" spans="1:5">
      <c r="A22" s="300">
        <v>15</v>
      </c>
      <c r="B22" s="256" t="s">
        <v>25</v>
      </c>
      <c r="C22" s="302" t="s">
        <v>8</v>
      </c>
      <c r="D22" s="302" t="s">
        <v>338</v>
      </c>
      <c r="E22" s="302">
        <v>1014</v>
      </c>
    </row>
    <row r="23" spans="1:5">
      <c r="A23" s="300">
        <v>16</v>
      </c>
      <c r="B23" s="256" t="s">
        <v>25</v>
      </c>
      <c r="C23" s="302" t="s">
        <v>8</v>
      </c>
      <c r="D23" s="302" t="s">
        <v>339</v>
      </c>
      <c r="E23" s="302">
        <v>1015</v>
      </c>
    </row>
    <row r="24" spans="1:5">
      <c r="A24" s="300">
        <v>17</v>
      </c>
      <c r="B24" s="256" t="s">
        <v>25</v>
      </c>
      <c r="C24" s="302" t="s">
        <v>8</v>
      </c>
      <c r="D24" s="302" t="s">
        <v>340</v>
      </c>
      <c r="E24" s="302">
        <v>1016</v>
      </c>
    </row>
    <row r="25" spans="1:5">
      <c r="A25" s="300">
        <v>18</v>
      </c>
      <c r="B25" s="256" t="s">
        <v>25</v>
      </c>
      <c r="C25" s="302" t="s">
        <v>8</v>
      </c>
      <c r="D25" s="302" t="s">
        <v>341</v>
      </c>
      <c r="E25" s="302">
        <v>1017</v>
      </c>
    </row>
    <row r="27" spans="1:5">
      <c r="D27" s="249" t="s">
        <v>272</v>
      </c>
      <c r="E27" s="251" t="s">
        <v>348</v>
      </c>
    </row>
  </sheetData>
  <sheetProtection password="E760" sheet="1" objects="1" scenarios="1" selectLockedCells="1"/>
  <mergeCells count="4">
    <mergeCell ref="C2:E2"/>
    <mergeCell ref="A2:B2"/>
    <mergeCell ref="A1:B1"/>
    <mergeCell ref="C1:D1"/>
  </mergeCells>
  <dataValidations count="5">
    <dataValidation allowBlank="1" showInputMessage="1" showErrorMessage="1" promptTitle="Ligenbezeichnung" prompt="Hier wird die Ligenbezeichnung eingetragen. Bitte achte darauf, dass diese korrekt eingetragen wird._x000a__x000a_Beispiel: _x000a_1. Bundesliga -&gt; 1.BL (ohne Leerzeichen)_x000a_2. Bundesliga Nord -&gt; 2.BLN" sqref="C2" xr:uid="{6D2FA4E8-D0AF-4E34-9BEC-9156ED760762}"/>
    <dataValidation allowBlank="1" showInputMessage="1" showErrorMessage="1" promptTitle="Mannschaft" prompt="Gib hier die Mannschaft ein" sqref="C1:D1" xr:uid="{E25302D0-29A1-4EF4-A839-D853DABBA52E}"/>
    <dataValidation type="whole" allowBlank="1" showInputMessage="1" showErrorMessage="1" promptTitle="Mannschaftsnummer" prompt="Gib hier die Mannschaftsnummer ein!" sqref="E1" xr:uid="{5AB38F70-5014-4260-9670-187F73EFA81B}">
      <formula1>1</formula1>
      <formula2>5</formula2>
    </dataValidation>
    <dataValidation type="textLength" allowBlank="1" showInputMessage="1" showErrorMessage="1" sqref="E8:E19 E20:E23" xr:uid="{6CE15F67-1905-4875-8F81-39F1C2E6B3A4}">
      <formula1>4</formula1>
      <formula2>5</formula2>
    </dataValidation>
    <dataValidation type="whole" allowBlank="1" showInputMessage="1" showErrorMessage="1" sqref="A8:A15 A17:A19 A20:A23" xr:uid="{9B574448-8727-4DD8-8D47-CB7B5733E615}">
      <formula1>0</formula1>
      <formula2>100</formula2>
    </dataValidation>
  </dataValidations>
  <pageMargins left="0.70866141732283472" right="0.70866141732283472" top="0.78740157480314965" bottom="0.78740157480314965" header="0.31496062992125984" footer="0.31496062992125984"/>
  <pageSetup paperSize="9" scale="125" orientation="landscape" horizontalDpi="0" verticalDpi="0" r:id="rId1"/>
  <headerFooter>
    <oddHeader>&amp;Le-Spielbericht Skaterhockey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3183-7A24-4F3D-AF92-AE3E2AF29431}">
  <sheetPr codeName="Tabelle6">
    <tabColor rgb="FF92D050"/>
  </sheetPr>
  <dimension ref="A1:G27"/>
  <sheetViews>
    <sheetView showGridLines="0" showRowColHeaders="0" zoomScale="150" zoomScaleNormal="150" workbookViewId="0">
      <pane ySplit="7" topLeftCell="A8" activePane="bottomLeft" state="frozen"/>
      <selection activeCell="D14" sqref="D14"/>
      <selection pane="bottomLeft" activeCell="D22" sqref="D22"/>
    </sheetView>
  </sheetViews>
  <sheetFormatPr baseColWidth="10" defaultColWidth="11.42578125" defaultRowHeight="15"/>
  <cols>
    <col min="1" max="1" width="16" style="102" bestFit="1" customWidth="1"/>
    <col min="2" max="2" width="11.140625" style="102" bestFit="1" customWidth="1"/>
    <col min="3" max="3" width="25.28515625" style="102" customWidth="1"/>
    <col min="4" max="4" width="25.5703125" style="102" customWidth="1"/>
    <col min="5" max="5" width="14.7109375" style="102" bestFit="1" customWidth="1"/>
    <col min="6" max="6" width="13.5703125" style="102" bestFit="1" customWidth="1"/>
    <col min="7" max="7" width="3" style="102" bestFit="1" customWidth="1"/>
    <col min="8" max="8" width="3" style="102" customWidth="1"/>
    <col min="9" max="16384" width="11.42578125" style="102"/>
  </cols>
  <sheetData>
    <row r="1" spans="1:7" ht="23.25">
      <c r="A1" s="384" t="s">
        <v>268</v>
      </c>
      <c r="B1" s="384"/>
      <c r="C1" s="385" t="s">
        <v>343</v>
      </c>
      <c r="D1" s="386"/>
      <c r="E1" s="304">
        <v>2</v>
      </c>
      <c r="F1" s="102" t="s">
        <v>133</v>
      </c>
      <c r="G1" s="102">
        <f>COUNTA(E8:E25)</f>
        <v>18</v>
      </c>
    </row>
    <row r="2" spans="1:7" ht="23.25">
      <c r="A2" s="384" t="s">
        <v>132</v>
      </c>
      <c r="B2" s="384"/>
      <c r="C2" s="383" t="s">
        <v>327</v>
      </c>
      <c r="D2" s="383"/>
      <c r="E2" s="383"/>
    </row>
    <row r="4" spans="1:7">
      <c r="B4" s="299" t="s">
        <v>274</v>
      </c>
      <c r="C4" s="299" t="s">
        <v>96</v>
      </c>
      <c r="D4" s="299" t="s">
        <v>97</v>
      </c>
    </row>
    <row r="5" spans="1:7">
      <c r="C5" s="303" t="s">
        <v>103</v>
      </c>
      <c r="D5" s="303" t="s">
        <v>342</v>
      </c>
    </row>
    <row r="7" spans="1:7">
      <c r="A7" s="102" t="s">
        <v>129</v>
      </c>
      <c r="B7" s="102" t="s">
        <v>130</v>
      </c>
      <c r="C7" s="102" t="s">
        <v>96</v>
      </c>
      <c r="D7" s="102" t="s">
        <v>97</v>
      </c>
      <c r="E7" s="102" t="s">
        <v>131</v>
      </c>
    </row>
    <row r="8" spans="1:7">
      <c r="A8" s="300">
        <v>1</v>
      </c>
      <c r="B8" s="256" t="s">
        <v>20</v>
      </c>
      <c r="C8" s="301" t="s">
        <v>103</v>
      </c>
      <c r="D8" s="301" t="s">
        <v>323</v>
      </c>
      <c r="E8" s="301">
        <v>2001</v>
      </c>
    </row>
    <row r="9" spans="1:7">
      <c r="A9" s="300">
        <v>2</v>
      </c>
      <c r="B9" s="256" t="s">
        <v>8</v>
      </c>
      <c r="C9" s="301" t="s">
        <v>103</v>
      </c>
      <c r="D9" s="301" t="s">
        <v>324</v>
      </c>
      <c r="E9" s="301">
        <v>2002</v>
      </c>
    </row>
    <row r="10" spans="1:7">
      <c r="A10" s="300">
        <v>3</v>
      </c>
      <c r="B10" s="256" t="s">
        <v>7</v>
      </c>
      <c r="C10" s="301" t="s">
        <v>103</v>
      </c>
      <c r="D10" s="301" t="s">
        <v>325</v>
      </c>
      <c r="E10" s="301">
        <v>2003</v>
      </c>
    </row>
    <row r="11" spans="1:7">
      <c r="A11" s="300">
        <v>4</v>
      </c>
      <c r="B11" s="256" t="s">
        <v>7</v>
      </c>
      <c r="C11" s="301" t="s">
        <v>103</v>
      </c>
      <c r="D11" s="301" t="s">
        <v>326</v>
      </c>
      <c r="E11" s="301">
        <v>2004</v>
      </c>
    </row>
    <row r="12" spans="1:7">
      <c r="A12" s="300">
        <v>5</v>
      </c>
      <c r="B12" s="256" t="s">
        <v>25</v>
      </c>
      <c r="C12" s="301" t="s">
        <v>103</v>
      </c>
      <c r="D12" s="301" t="s">
        <v>328</v>
      </c>
      <c r="E12" s="301">
        <v>2005</v>
      </c>
    </row>
    <row r="13" spans="1:7">
      <c r="A13" s="300">
        <v>6</v>
      </c>
      <c r="B13" s="256" t="s">
        <v>25</v>
      </c>
      <c r="C13" s="301" t="s">
        <v>103</v>
      </c>
      <c r="D13" s="301" t="s">
        <v>329</v>
      </c>
      <c r="E13" s="301">
        <v>2006</v>
      </c>
    </row>
    <row r="14" spans="1:7">
      <c r="A14" s="300">
        <v>7</v>
      </c>
      <c r="B14" s="256" t="s">
        <v>25</v>
      </c>
      <c r="C14" s="301" t="s">
        <v>103</v>
      </c>
      <c r="D14" s="301" t="s">
        <v>330</v>
      </c>
      <c r="E14" s="301">
        <v>2007</v>
      </c>
    </row>
    <row r="15" spans="1:7">
      <c r="A15" s="300">
        <v>8</v>
      </c>
      <c r="B15" s="256" t="s">
        <v>25</v>
      </c>
      <c r="C15" s="301" t="s">
        <v>103</v>
      </c>
      <c r="D15" s="301" t="s">
        <v>331</v>
      </c>
      <c r="E15" s="301">
        <v>2008</v>
      </c>
    </row>
    <row r="16" spans="1:7">
      <c r="A16" s="300">
        <v>9</v>
      </c>
      <c r="B16" s="256" t="s">
        <v>25</v>
      </c>
      <c r="C16" s="301" t="s">
        <v>103</v>
      </c>
      <c r="D16" s="301" t="s">
        <v>332</v>
      </c>
      <c r="E16" s="301">
        <v>2009</v>
      </c>
    </row>
    <row r="17" spans="1:5">
      <c r="A17" s="300">
        <v>10</v>
      </c>
      <c r="B17" s="256" t="s">
        <v>25</v>
      </c>
      <c r="C17" s="301" t="s">
        <v>103</v>
      </c>
      <c r="D17" s="301" t="s">
        <v>333</v>
      </c>
      <c r="E17" s="301">
        <v>2010</v>
      </c>
    </row>
    <row r="18" spans="1:5">
      <c r="A18" s="300">
        <v>11</v>
      </c>
      <c r="B18" s="256" t="s">
        <v>25</v>
      </c>
      <c r="C18" s="301" t="s">
        <v>103</v>
      </c>
      <c r="D18" s="301" t="s">
        <v>334</v>
      </c>
      <c r="E18" s="301">
        <v>2011</v>
      </c>
    </row>
    <row r="19" spans="1:5">
      <c r="A19" s="300">
        <v>12</v>
      </c>
      <c r="B19" s="256" t="s">
        <v>25</v>
      </c>
      <c r="C19" s="301" t="s">
        <v>103</v>
      </c>
      <c r="D19" s="301" t="s">
        <v>335</v>
      </c>
      <c r="E19" s="301">
        <v>2012</v>
      </c>
    </row>
    <row r="20" spans="1:5">
      <c r="A20" s="300">
        <v>13</v>
      </c>
      <c r="B20" s="256" t="s">
        <v>25</v>
      </c>
      <c r="C20" s="301" t="s">
        <v>103</v>
      </c>
      <c r="D20" s="301" t="s">
        <v>336</v>
      </c>
      <c r="E20" s="301">
        <v>2013</v>
      </c>
    </row>
    <row r="21" spans="1:5">
      <c r="A21" s="300">
        <v>14</v>
      </c>
      <c r="B21" s="256" t="s">
        <v>25</v>
      </c>
      <c r="C21" s="301" t="s">
        <v>103</v>
      </c>
      <c r="D21" s="301" t="s">
        <v>337</v>
      </c>
      <c r="E21" s="301">
        <v>2014</v>
      </c>
    </row>
    <row r="22" spans="1:5">
      <c r="A22" s="300">
        <v>15</v>
      </c>
      <c r="B22" s="256" t="s">
        <v>25</v>
      </c>
      <c r="C22" s="301" t="s">
        <v>103</v>
      </c>
      <c r="D22" s="301" t="s">
        <v>338</v>
      </c>
      <c r="E22" s="301">
        <v>2015</v>
      </c>
    </row>
    <row r="23" spans="1:5">
      <c r="A23" s="300">
        <v>16</v>
      </c>
      <c r="B23" s="256" t="s">
        <v>25</v>
      </c>
      <c r="C23" s="301" t="s">
        <v>103</v>
      </c>
      <c r="D23" s="301" t="s">
        <v>339</v>
      </c>
      <c r="E23" s="301">
        <v>2016</v>
      </c>
    </row>
    <row r="24" spans="1:5">
      <c r="A24" s="300">
        <v>17</v>
      </c>
      <c r="B24" s="256" t="s">
        <v>25</v>
      </c>
      <c r="C24" s="301" t="s">
        <v>103</v>
      </c>
      <c r="D24" s="301" t="s">
        <v>340</v>
      </c>
      <c r="E24" s="301">
        <v>2017</v>
      </c>
    </row>
    <row r="25" spans="1:5">
      <c r="A25" s="300">
        <v>18</v>
      </c>
      <c r="B25" s="256" t="s">
        <v>25</v>
      </c>
      <c r="C25" s="301" t="s">
        <v>103</v>
      </c>
      <c r="D25" s="301" t="s">
        <v>341</v>
      </c>
      <c r="E25" s="301">
        <v>2018</v>
      </c>
    </row>
    <row r="27" spans="1:5">
      <c r="D27" s="249" t="s">
        <v>272</v>
      </c>
      <c r="E27" s="251" t="s">
        <v>348</v>
      </c>
    </row>
  </sheetData>
  <sheetProtection password="E760" sheet="1" objects="1" scenarios="1" selectLockedCells="1"/>
  <mergeCells count="4">
    <mergeCell ref="A1:B1"/>
    <mergeCell ref="A2:B2"/>
    <mergeCell ref="C2:E2"/>
    <mergeCell ref="C1:D1"/>
  </mergeCells>
  <phoneticPr fontId="35" type="noConversion"/>
  <dataValidations count="5">
    <dataValidation allowBlank="1" showInputMessage="1" showErrorMessage="1" promptTitle="Ligenbezeichnung" prompt="Hier wird die Ligenbezeichnung eingetragen. Bitte achte darauf, dass diese korrekt eingetragen wird._x000a__x000a_Beispiel: _x000a_1. Bundesliga -&gt; 1.BL (ohne Leerzeichen)_x000a_2. Bundesliga Nord -&gt; 2.BLN" sqref="C2" xr:uid="{7620B45C-8383-4FD5-8D50-3EC0FA31D275}"/>
    <dataValidation type="whole" allowBlank="1" showInputMessage="1" showErrorMessage="1" promptTitle="Mannschaftsnummer" prompt="Gib hier die Mannschaftsnummer ein!" sqref="E1" xr:uid="{27A4DB5E-9E09-40AC-9709-6D1F5A467E26}">
      <formula1>1</formula1>
      <formula2>5</formula2>
    </dataValidation>
    <dataValidation allowBlank="1" showInputMessage="1" showErrorMessage="1" promptTitle="Mannschaft" prompt="Gib hier die Mannschaft ein" sqref="C1:D1" xr:uid="{6F4DCB7E-DF94-49F4-B989-CB7CCD7FDFA8}"/>
    <dataValidation type="whole" allowBlank="1" showInputMessage="1" showErrorMessage="1" sqref="A8:A25" xr:uid="{38DBFF63-4BDB-49A8-9B72-91104E3AF4AC}">
      <formula1>0</formula1>
      <formula2>100</formula2>
    </dataValidation>
    <dataValidation type="textLength" allowBlank="1" showInputMessage="1" showErrorMessage="1" sqref="E8:E25" xr:uid="{4DCC150D-AB61-4E6D-BF39-D13DA25D73AB}">
      <formula1>4</formula1>
      <formula2>5</formula2>
    </dataValidation>
  </dataValidations>
  <pageMargins left="0.70866141732283472" right="0.70866141732283472" top="0.78740157480314965" bottom="0.78740157480314965" header="0.31496062992125984" footer="0.31496062992125984"/>
  <pageSetup paperSize="9" scale="125" orientation="landscape" horizontalDpi="0" verticalDpi="0" r:id="rId1"/>
  <headerFooter>
    <oddHeader>&amp;Le-Spielbericht Skaterhockey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E40D-5028-444C-BA25-E6B5E2BC46A5}">
  <sheetPr codeName="Tabelle2">
    <tabColor rgb="FFFF0000"/>
    <pageSetUpPr fitToPage="1"/>
  </sheetPr>
  <dimension ref="A1:AM56"/>
  <sheetViews>
    <sheetView showGridLines="0" showRowColHeaders="0" zoomScaleNormal="100" workbookViewId="0">
      <selection activeCell="S38" sqref="S38"/>
    </sheetView>
  </sheetViews>
  <sheetFormatPr baseColWidth="10" defaultColWidth="11.140625" defaultRowHeight="15"/>
  <cols>
    <col min="1" max="1" width="8.140625" style="260" customWidth="1"/>
    <col min="2" max="2" width="8.140625" style="260" hidden="1" customWidth="1"/>
    <col min="3" max="3" width="4.5703125" style="260" customWidth="1"/>
    <col min="4" max="4" width="6.5703125" style="260" customWidth="1"/>
    <col min="5" max="5" width="6.5703125" style="260" hidden="1" customWidth="1"/>
    <col min="6" max="6" width="10" style="260" customWidth="1"/>
    <col min="7" max="7" width="12" style="260" customWidth="1"/>
    <col min="8" max="8" width="5.42578125" style="260" customWidth="1"/>
    <col min="9" max="9" width="8" style="260" customWidth="1"/>
    <col min="10" max="10" width="7.28515625" style="260" bestFit="1" customWidth="1"/>
    <col min="11" max="11" width="2.85546875" style="260" customWidth="1"/>
    <col min="12" max="12" width="21.140625" style="260" customWidth="1"/>
    <col min="13" max="15" width="2.5703125" style="260" customWidth="1"/>
    <col min="16" max="16" width="7.140625" style="260" customWidth="1"/>
    <col min="17" max="17" width="6.42578125" style="260" bestFit="1" customWidth="1"/>
    <col min="18" max="19" width="3.5703125" style="260" customWidth="1"/>
    <col min="20" max="20" width="3.7109375" style="260" bestFit="1" customWidth="1"/>
    <col min="21" max="21" width="6.5703125" style="260" customWidth="1"/>
    <col min="22" max="23" width="3.5703125" style="260" customWidth="1"/>
    <col min="24" max="24" width="3.7109375" style="260" bestFit="1" customWidth="1"/>
    <col min="25" max="25" width="6.5703125" style="260" customWidth="1"/>
    <col min="26" max="26" width="4.140625" style="260" customWidth="1"/>
    <col min="27" max="27" width="6.5703125" style="260" bestFit="1" customWidth="1"/>
    <col min="28" max="28" width="6.5703125" style="260" hidden="1" customWidth="1"/>
    <col min="29" max="29" width="5.5703125" style="260" customWidth="1"/>
    <col min="30" max="30" width="4.5703125" style="260" customWidth="1"/>
    <col min="31" max="31" width="11.140625" style="260"/>
    <col min="32" max="32" width="2" style="260" customWidth="1"/>
    <col min="33" max="33" width="11.140625" style="260" customWidth="1"/>
    <col min="34" max="34" width="11.140625" style="260"/>
    <col min="35" max="35" width="2.28515625" style="260" customWidth="1"/>
    <col min="36" max="39" width="11.140625" style="260" hidden="1" customWidth="1"/>
    <col min="40" max="16384" width="11.140625" style="260"/>
  </cols>
  <sheetData>
    <row r="1" spans="1:38" ht="21" customHeight="1" thickBot="1">
      <c r="A1" s="532"/>
      <c r="B1" s="533"/>
      <c r="C1" s="533"/>
      <c r="D1" s="556" t="s">
        <v>300</v>
      </c>
      <c r="E1" s="557"/>
      <c r="F1" s="557"/>
      <c r="G1" s="557"/>
      <c r="H1" s="557"/>
      <c r="I1" s="557"/>
      <c r="J1" s="248">
        <v>1</v>
      </c>
      <c r="K1" s="558" t="str">
        <f ca="1">D9</f>
        <v>a-Team 1</v>
      </c>
      <c r="L1" s="558"/>
      <c r="M1" s="558"/>
      <c r="N1" s="558"/>
      <c r="O1" s="558"/>
      <c r="P1" s="558"/>
      <c r="Q1" s="488" t="s">
        <v>286</v>
      </c>
      <c r="R1" s="488"/>
      <c r="S1" s="488"/>
      <c r="T1" s="488"/>
      <c r="U1" s="488"/>
      <c r="V1" s="488"/>
      <c r="W1" s="488"/>
      <c r="X1" s="488"/>
      <c r="Y1" s="559" t="s">
        <v>285</v>
      </c>
      <c r="Z1" s="451"/>
      <c r="AA1" s="451"/>
      <c r="AB1" s="451"/>
      <c r="AC1" s="451"/>
      <c r="AD1" s="451"/>
      <c r="AE1" s="257"/>
      <c r="AF1" s="258"/>
      <c r="AG1" s="393" t="s">
        <v>262</v>
      </c>
      <c r="AH1" s="393"/>
      <c r="AI1" s="259"/>
      <c r="AJ1" s="260" t="s">
        <v>140</v>
      </c>
      <c r="AK1" s="260" t="s">
        <v>141</v>
      </c>
    </row>
    <row r="2" spans="1:38" ht="8.25" customHeight="1" thickBot="1">
      <c r="A2" s="534"/>
      <c r="B2" s="535"/>
      <c r="C2" s="535"/>
      <c r="D2" s="556"/>
      <c r="E2" s="557"/>
      <c r="F2" s="557"/>
      <c r="G2" s="557"/>
      <c r="H2" s="557"/>
      <c r="I2" s="557"/>
      <c r="J2" s="489" t="s">
        <v>3</v>
      </c>
      <c r="K2" s="438" t="s">
        <v>282</v>
      </c>
      <c r="L2" s="438"/>
      <c r="M2" s="438"/>
      <c r="N2" s="438"/>
      <c r="O2" s="438"/>
      <c r="P2" s="213" t="s">
        <v>281</v>
      </c>
      <c r="Q2" s="214" t="s">
        <v>6</v>
      </c>
      <c r="R2" s="523" t="s">
        <v>7</v>
      </c>
      <c r="S2" s="523" t="s">
        <v>8</v>
      </c>
      <c r="T2" s="554" t="s">
        <v>9</v>
      </c>
      <c r="U2" s="214" t="s">
        <v>6</v>
      </c>
      <c r="V2" s="523" t="s">
        <v>7</v>
      </c>
      <c r="W2" s="523" t="s">
        <v>8</v>
      </c>
      <c r="X2" s="554" t="s">
        <v>9</v>
      </c>
      <c r="Y2" s="214" t="s">
        <v>6</v>
      </c>
      <c r="Z2" s="555" t="s">
        <v>3</v>
      </c>
      <c r="AA2" s="261"/>
      <c r="AB2" s="492" t="s">
        <v>135</v>
      </c>
      <c r="AC2" s="215" t="s">
        <v>284</v>
      </c>
      <c r="AD2" s="216"/>
      <c r="AE2" s="487" t="s">
        <v>11</v>
      </c>
      <c r="AF2" s="262"/>
      <c r="AG2" s="263"/>
      <c r="AH2" s="263"/>
      <c r="AI2" s="264"/>
      <c r="AJ2" s="260" t="s">
        <v>98</v>
      </c>
      <c r="AK2" s="260">
        <f>Setup!B13</f>
        <v>2000</v>
      </c>
    </row>
    <row r="3" spans="1:38" ht="8.25" customHeight="1" thickBot="1">
      <c r="A3" s="534"/>
      <c r="B3" s="535"/>
      <c r="C3" s="535"/>
      <c r="D3" s="556"/>
      <c r="E3" s="557"/>
      <c r="F3" s="557"/>
      <c r="G3" s="557"/>
      <c r="H3" s="557"/>
      <c r="I3" s="557"/>
      <c r="J3" s="489"/>
      <c r="K3" s="438"/>
      <c r="L3" s="438"/>
      <c r="M3" s="438"/>
      <c r="N3" s="438"/>
      <c r="O3" s="438"/>
      <c r="P3" s="213" t="s">
        <v>280</v>
      </c>
      <c r="Q3" s="368" t="s">
        <v>13</v>
      </c>
      <c r="R3" s="523"/>
      <c r="S3" s="523"/>
      <c r="T3" s="554"/>
      <c r="U3" s="368" t="s">
        <v>13</v>
      </c>
      <c r="V3" s="523"/>
      <c r="W3" s="523"/>
      <c r="X3" s="554"/>
      <c r="Y3" s="368" t="s">
        <v>13</v>
      </c>
      <c r="Z3" s="555"/>
      <c r="AA3" s="217" t="s">
        <v>14</v>
      </c>
      <c r="AB3" s="493"/>
      <c r="AC3" s="218" t="s">
        <v>283</v>
      </c>
      <c r="AD3" s="219" t="s">
        <v>265</v>
      </c>
      <c r="AE3" s="487"/>
      <c r="AF3" s="262"/>
      <c r="AG3" s="263"/>
      <c r="AH3" s="263"/>
      <c r="AI3" s="264"/>
      <c r="AJ3" s="260" t="s">
        <v>99</v>
      </c>
      <c r="AK3" s="260">
        <f>AK2*2</f>
        <v>4000</v>
      </c>
    </row>
    <row r="4" spans="1:38" ht="8.25" customHeight="1" thickBot="1">
      <c r="A4" s="534"/>
      <c r="B4" s="535"/>
      <c r="C4" s="535"/>
      <c r="D4" s="556"/>
      <c r="E4" s="557"/>
      <c r="F4" s="557"/>
      <c r="G4" s="557"/>
      <c r="H4" s="557"/>
      <c r="I4" s="557"/>
      <c r="J4" s="489"/>
      <c r="K4" s="438"/>
      <c r="L4" s="438"/>
      <c r="M4" s="438"/>
      <c r="N4" s="438"/>
      <c r="O4" s="438"/>
      <c r="P4" s="220" t="s">
        <v>17</v>
      </c>
      <c r="Q4" s="369" t="s">
        <v>18</v>
      </c>
      <c r="R4" s="523"/>
      <c r="S4" s="523"/>
      <c r="T4" s="554"/>
      <c r="U4" s="369" t="s">
        <v>18</v>
      </c>
      <c r="V4" s="523"/>
      <c r="W4" s="523"/>
      <c r="X4" s="554"/>
      <c r="Y4" s="369"/>
      <c r="Z4" s="555"/>
      <c r="AA4" s="265"/>
      <c r="AB4" s="494"/>
      <c r="AC4" s="221"/>
      <c r="AD4" s="222"/>
      <c r="AE4" s="487"/>
      <c r="AF4" s="262"/>
      <c r="AG4" s="263"/>
      <c r="AH4" s="263"/>
      <c r="AI4" s="264"/>
      <c r="AJ4" s="260" t="s">
        <v>100</v>
      </c>
      <c r="AK4" s="260">
        <f>AK2*3</f>
        <v>6000</v>
      </c>
    </row>
    <row r="5" spans="1:38" ht="12" customHeight="1" thickBot="1">
      <c r="A5" s="534"/>
      <c r="B5" s="535"/>
      <c r="C5" s="535"/>
      <c r="D5" s="556"/>
      <c r="E5" s="557"/>
      <c r="F5" s="557"/>
      <c r="G5" s="557"/>
      <c r="H5" s="557"/>
      <c r="I5" s="557"/>
      <c r="J5" s="373">
        <f ca="1">IF(INDIRECT($AJ$1&amp;"!a8")="","",INDIRECT($AJ$1&amp;"!a8"))</f>
        <v>1</v>
      </c>
      <c r="K5" s="266" t="s">
        <v>20</v>
      </c>
      <c r="L5" s="402" t="str">
        <f ca="1">IF(J5="","",CONCATENATE(IF(INDIRECT($AJ$1&amp;"!c8")="","",INDIRECT($AJ$1&amp;"!c8")),", ",IF(INDIRECT($AJ$1&amp;"!d8")="","",INDIRECT($AJ$1&amp;"!d8"))))</f>
        <v>A, a</v>
      </c>
      <c r="M5" s="403" t="str">
        <f t="shared" ref="M5:O5" ca="1" si="0">IF(INDIRECT($AJ$1&amp;"!A7")="","",INDIRECT($AJ$1&amp;"!A7"))</f>
        <v>Trikotnummer</v>
      </c>
      <c r="N5" s="403" t="str">
        <f t="shared" ca="1" si="0"/>
        <v>Trikotnummer</v>
      </c>
      <c r="O5" s="404" t="str">
        <f t="shared" ca="1" si="0"/>
        <v>Trikotnummer</v>
      </c>
      <c r="P5" s="267">
        <f ca="1">IF(INDIRECT($AJ$1&amp;"!e8")="","",INDIRECT($AJ$1&amp;"!e8"))</f>
        <v>1000</v>
      </c>
      <c r="Q5" s="268"/>
      <c r="R5" s="269"/>
      <c r="S5" s="269"/>
      <c r="T5" s="374" t="str">
        <f>IF(TRIM(Q5)="","",1)</f>
        <v/>
      </c>
      <c r="U5" s="268"/>
      <c r="V5" s="269"/>
      <c r="W5" s="269"/>
      <c r="X5" s="374" t="str">
        <f>IF(TRIM(U5)="","",T25+1)</f>
        <v/>
      </c>
      <c r="Y5" s="268"/>
      <c r="Z5" s="269"/>
      <c r="AA5" s="270"/>
      <c r="AB5" s="271">
        <f>IF(AA5="",0,VLOOKUP(AA5,Daten!$B$2:$C$11,2,FALSE))</f>
        <v>0</v>
      </c>
      <c r="AC5" s="272"/>
      <c r="AD5" s="273"/>
      <c r="AE5" s="223">
        <v>1</v>
      </c>
      <c r="AF5" s="262"/>
      <c r="AG5" s="263"/>
      <c r="AH5" s="263"/>
      <c r="AI5" s="264"/>
      <c r="AJ5" s="274" t="s">
        <v>101</v>
      </c>
      <c r="AK5" s="275">
        <f>AK4+Setup!D13*Setup!D14</f>
        <v>6000</v>
      </c>
    </row>
    <row r="6" spans="1:38" ht="12" customHeight="1" thickBot="1">
      <c r="A6" s="534"/>
      <c r="B6" s="535"/>
      <c r="C6" s="535"/>
      <c r="D6" s="556"/>
      <c r="E6" s="557"/>
      <c r="F6" s="557"/>
      <c r="G6" s="557"/>
      <c r="H6" s="557"/>
      <c r="I6" s="557"/>
      <c r="J6" s="373">
        <f ca="1">IF(INDIRECT($AJ$1&amp;"!a9")="","",INDIRECT($AJ$1&amp;"!a9"))</f>
        <v>2</v>
      </c>
      <c r="K6" s="266" t="s">
        <v>8</v>
      </c>
      <c r="L6" s="402" t="str">
        <f ca="1">IF(J6="","",CONCATENATE(IF(INDIRECT($AJ$1&amp;"!c9")="","",INDIRECT($AJ$1&amp;"!c9")),", ",IF(INDIRECT($AJ$1&amp;"!d9")="","",INDIRECT($AJ$1&amp;"!d9"))))</f>
        <v>A, b</v>
      </c>
      <c r="M6" s="403" t="str">
        <f ca="1">IF(INDIRECT($AJ$1&amp;"!A7")="","",INDIRECT($AJ$1&amp;"!A7"))</f>
        <v>Trikotnummer</v>
      </c>
      <c r="N6" s="403" t="str">
        <f ca="1">IF(INDIRECT($AJ$1&amp;"!A7")="","",INDIRECT($AJ$1&amp;"!A7"))</f>
        <v>Trikotnummer</v>
      </c>
      <c r="O6" s="404" t="str">
        <f ca="1">IF(INDIRECT($AJ$1&amp;"!A7")="","",INDIRECT($AJ$1&amp;"!A7"))</f>
        <v>Trikotnummer</v>
      </c>
      <c r="P6" s="267">
        <f ca="1">IF(INDIRECT($AJ$1&amp;"!e9")="","",INDIRECT($AJ$1&amp;"!e9"))</f>
        <v>1001</v>
      </c>
      <c r="Q6" s="268"/>
      <c r="R6" s="269"/>
      <c r="S6" s="269"/>
      <c r="T6" s="374" t="str">
        <f>IF(TRIM(Q6)="","",T5+1)</f>
        <v/>
      </c>
      <c r="U6" s="268"/>
      <c r="V6" s="269"/>
      <c r="W6" s="269"/>
      <c r="X6" s="374" t="str">
        <f t="shared" ref="X6:X23" si="1">IF(TRIM(U6)="","",X5+1)</f>
        <v/>
      </c>
      <c r="Y6" s="268"/>
      <c r="Z6" s="269"/>
      <c r="AA6" s="276"/>
      <c r="AB6" s="271">
        <f>IF(AA6="",0,VLOOKUP(AA6,Daten!$B$2:$C$11,2,FALSE))</f>
        <v>0</v>
      </c>
      <c r="AC6" s="272"/>
      <c r="AD6" s="273"/>
      <c r="AE6" s="223">
        <v>2</v>
      </c>
      <c r="AF6" s="262"/>
      <c r="AG6" s="263"/>
      <c r="AH6" s="263"/>
      <c r="AI6" s="264"/>
      <c r="AJ6" s="274" t="s">
        <v>137</v>
      </c>
      <c r="AK6" s="275">
        <f>Setup!B14</f>
        <v>3</v>
      </c>
    </row>
    <row r="7" spans="1:38" ht="12" customHeight="1">
      <c r="A7" s="534"/>
      <c r="B7" s="535"/>
      <c r="C7" s="536"/>
      <c r="D7" s="540" t="s">
        <v>291</v>
      </c>
      <c r="E7" s="541"/>
      <c r="F7" s="541"/>
      <c r="G7" s="541"/>
      <c r="H7" s="542"/>
      <c r="I7" s="224" t="s">
        <v>290</v>
      </c>
      <c r="J7" s="373">
        <f ca="1">IF(INDIRECT($AJ$1&amp;"!a10")="","",INDIRECT($AJ$1&amp;"!a10"))</f>
        <v>3</v>
      </c>
      <c r="K7" s="266" t="s">
        <v>7</v>
      </c>
      <c r="L7" s="277" t="str">
        <f ca="1">IF(J7="","",CONCATENATE(IF(INDIRECT($AJ$1&amp;"!c10")="","",INDIRECT($AJ$1&amp;"!c10")),", ",IF(INDIRECT($AJ$1&amp;"!d10")="","",INDIRECT($AJ$1&amp;"!d10"))))</f>
        <v>A, c</v>
      </c>
      <c r="M7" s="325"/>
      <c r="N7" s="325"/>
      <c r="O7" s="326"/>
      <c r="P7" s="267">
        <f ca="1">IF(INDIRECT($AJ$1&amp;"!e10")="","",INDIRECT($AJ$1&amp;"!e10"))</f>
        <v>1002</v>
      </c>
      <c r="Q7" s="268"/>
      <c r="R7" s="269"/>
      <c r="S7" s="269"/>
      <c r="T7" s="374" t="str">
        <f t="shared" ref="T7:T22" si="2">IF(TRIM(Q7)="","",T6+1)</f>
        <v/>
      </c>
      <c r="U7" s="268"/>
      <c r="V7" s="269"/>
      <c r="W7" s="269"/>
      <c r="X7" s="374" t="str">
        <f t="shared" si="1"/>
        <v/>
      </c>
      <c r="Y7" s="268"/>
      <c r="Z7" s="269"/>
      <c r="AA7" s="276"/>
      <c r="AB7" s="271">
        <f>IF(AA7="",0,VLOOKUP(AA7,Daten!$B$2:$C$11,2,FALSE))</f>
        <v>0</v>
      </c>
      <c r="AC7" s="272"/>
      <c r="AD7" s="273"/>
      <c r="AE7" s="223">
        <v>3</v>
      </c>
      <c r="AF7" s="262"/>
      <c r="AG7" s="263"/>
      <c r="AH7" s="263"/>
      <c r="AI7" s="264"/>
    </row>
    <row r="8" spans="1:38" ht="12" customHeight="1" thickBot="1">
      <c r="A8" s="537"/>
      <c r="B8" s="538"/>
      <c r="C8" s="539"/>
      <c r="D8" s="543"/>
      <c r="E8" s="544"/>
      <c r="F8" s="544"/>
      <c r="G8" s="544"/>
      <c r="H8" s="545"/>
      <c r="I8" s="225" t="s">
        <v>138</v>
      </c>
      <c r="J8" s="373">
        <f ca="1">IF(INDIRECT($AJ$1&amp;"!a11")="","",INDIRECT($AJ$1&amp;"!a11"))</f>
        <v>4</v>
      </c>
      <c r="K8" s="266" t="s">
        <v>7</v>
      </c>
      <c r="L8" s="277" t="str">
        <f ca="1">IF(J8="","",CONCATENATE(IF(INDIRECT($AJ$1&amp;"!c11")="","",INDIRECT($AJ$1&amp;"!c11")),", ",IF(INDIRECT($AJ$1&amp;"!d11")="","",INDIRECT($AJ$1&amp;"!d11"))))</f>
        <v>A, d</v>
      </c>
      <c r="M8" s="325"/>
      <c r="N8" s="325"/>
      <c r="O8" s="326"/>
      <c r="P8" s="267">
        <f ca="1">IF(INDIRECT($AJ$1&amp;"!e11")="","",INDIRECT($AJ$1&amp;"!e11"))</f>
        <v>1003</v>
      </c>
      <c r="Q8" s="268"/>
      <c r="R8" s="269"/>
      <c r="S8" s="269"/>
      <c r="T8" s="374" t="str">
        <f t="shared" si="2"/>
        <v/>
      </c>
      <c r="U8" s="268"/>
      <c r="V8" s="269"/>
      <c r="W8" s="269"/>
      <c r="X8" s="374" t="str">
        <f t="shared" si="1"/>
        <v/>
      </c>
      <c r="Y8" s="268"/>
      <c r="Z8" s="269"/>
      <c r="AA8" s="276"/>
      <c r="AB8" s="271">
        <f>IF(AA8="",0,VLOOKUP(AA8,Daten!$B$2:$C$11,2,FALSE))</f>
        <v>0</v>
      </c>
      <c r="AC8" s="272"/>
      <c r="AD8" s="273"/>
      <c r="AE8" s="223">
        <v>4</v>
      </c>
      <c r="AF8" s="262"/>
      <c r="AG8" s="263"/>
      <c r="AH8" s="263"/>
      <c r="AI8" s="264"/>
      <c r="AJ8" s="260" t="s">
        <v>142</v>
      </c>
    </row>
    <row r="9" spans="1:38" ht="12" customHeight="1" thickBot="1">
      <c r="A9" s="520" t="s">
        <v>24</v>
      </c>
      <c r="B9" s="520"/>
      <c r="C9" s="520"/>
      <c r="D9" s="521" t="str">
        <f ca="1">IF(INDIRECT($AJ$1&amp;"!c1")="","",INDIRECT($AJ$1&amp;"!c1")&amp;" "&amp;INDIRECT($AJ$1&amp;"!e1"))</f>
        <v>a-Team 1</v>
      </c>
      <c r="E9" s="521"/>
      <c r="F9" s="521"/>
      <c r="G9" s="521"/>
      <c r="H9" s="521"/>
      <c r="I9" s="522" t="str">
        <f ca="1">IF(D9="","",UPPER(SUBSTITUTE(INDIRECT(AJ1&amp;"!c2")," ","")))</f>
        <v>AB</v>
      </c>
      <c r="J9" s="373">
        <f ca="1">IF(INDIRECT($AJ$1&amp;"!a12")="","",INDIRECT($AJ$1&amp;"!a12"))</f>
        <v>5</v>
      </c>
      <c r="K9" s="266" t="s">
        <v>25</v>
      </c>
      <c r="L9" s="402" t="str">
        <f ca="1">IF(J9="","",CONCATENATE(IF(INDIRECT($AJ$1&amp;"!c12")="","",INDIRECT($AJ$1&amp;"!c12")),", ",IF(INDIRECT($AJ$1&amp;"!d12")="","",INDIRECT($AJ$1&amp;"!d12"))))</f>
        <v>A, e</v>
      </c>
      <c r="M9" s="403" t="str">
        <f ca="1">IF(INDIRECT($AJ$1&amp;"!A7")="","",INDIRECT($AJ$1&amp;"!A7"))</f>
        <v>Trikotnummer</v>
      </c>
      <c r="N9" s="403" t="str">
        <f ca="1">IF(INDIRECT($AJ$1&amp;"!A7")="","",INDIRECT($AJ$1&amp;"!A7"))</f>
        <v>Trikotnummer</v>
      </c>
      <c r="O9" s="404" t="str">
        <f ca="1">IF(INDIRECT($AJ$1&amp;"!A7")="","",INDIRECT($AJ$1&amp;"!A7"))</f>
        <v>Trikotnummer</v>
      </c>
      <c r="P9" s="267">
        <f ca="1">IF(INDIRECT($AJ$1&amp;"!e12")="","",INDIRECT($AJ$1&amp;"!e12"))</f>
        <v>1004</v>
      </c>
      <c r="Q9" s="268"/>
      <c r="R9" s="269"/>
      <c r="S9" s="269"/>
      <c r="T9" s="374" t="str">
        <f t="shared" si="2"/>
        <v/>
      </c>
      <c r="U9" s="268"/>
      <c r="V9" s="269"/>
      <c r="W9" s="269"/>
      <c r="X9" s="374" t="str">
        <f t="shared" si="1"/>
        <v/>
      </c>
      <c r="Y9" s="268"/>
      <c r="Z9" s="269"/>
      <c r="AA9" s="276"/>
      <c r="AB9" s="271">
        <f>IF(AA9="",0,VLOOKUP(AA9,Daten!$B$2:$C$11,2,FALSE))</f>
        <v>0</v>
      </c>
      <c r="AC9" s="272"/>
      <c r="AD9" s="273"/>
      <c r="AE9" s="223">
        <v>5</v>
      </c>
      <c r="AF9" s="278"/>
      <c r="AG9" s="279"/>
      <c r="AH9" s="279"/>
      <c r="AI9" s="280"/>
      <c r="AJ9" s="260" t="s">
        <v>143</v>
      </c>
      <c r="AK9" s="260" t="str">
        <f>IF(MAX(Q5:Q26)&gt;$AK$4,"WAHR","FALSCH")</f>
        <v>FALSCH</v>
      </c>
      <c r="AL9" s="260">
        <f>_xlfn.IFNA(MATCH("WAHR",AK9:AK16,0),0)</f>
        <v>0</v>
      </c>
    </row>
    <row r="10" spans="1:38" ht="12" customHeight="1">
      <c r="A10" s="520"/>
      <c r="B10" s="520"/>
      <c r="C10" s="520"/>
      <c r="D10" s="521"/>
      <c r="E10" s="521"/>
      <c r="F10" s="521"/>
      <c r="G10" s="521"/>
      <c r="H10" s="521"/>
      <c r="I10" s="522"/>
      <c r="J10" s="373">
        <f ca="1">IF(INDIRECT($AJ$1&amp;"!a13")="","",INDIRECT($AJ$1&amp;"!a13"))</f>
        <v>6</v>
      </c>
      <c r="K10" s="266" t="s">
        <v>25</v>
      </c>
      <c r="L10" s="402" t="str">
        <f ca="1">IF(J10="","",CONCATENATE(IF(INDIRECT($AJ$1&amp;"!c13")="","",INDIRECT($AJ$1&amp;"!c13")),", ",IF(INDIRECT($AJ$1&amp;"!d13")="","",INDIRECT($AJ$1&amp;"!d13"))))</f>
        <v>A, f</v>
      </c>
      <c r="M10" s="403" t="str">
        <f t="shared" ref="M10:O12" ca="1" si="3">IF(INDIRECT($AJ$1&amp;"!A7")="","",INDIRECT($AJ$1&amp;"!A7"))</f>
        <v>Trikotnummer</v>
      </c>
      <c r="N10" s="403" t="str">
        <f t="shared" ca="1" si="3"/>
        <v>Trikotnummer</v>
      </c>
      <c r="O10" s="404" t="str">
        <f t="shared" ca="1" si="3"/>
        <v>Trikotnummer</v>
      </c>
      <c r="P10" s="267">
        <f ca="1">IF(INDIRECT($AJ$1&amp;"!e13")="","",INDIRECT($AJ$1&amp;"!e13"))</f>
        <v>1005</v>
      </c>
      <c r="Q10" s="268"/>
      <c r="R10" s="269"/>
      <c r="S10" s="269"/>
      <c r="T10" s="374" t="str">
        <f t="shared" si="2"/>
        <v/>
      </c>
      <c r="U10" s="268"/>
      <c r="V10" s="269"/>
      <c r="W10" s="269"/>
      <c r="X10" s="374" t="str">
        <f t="shared" si="1"/>
        <v/>
      </c>
      <c r="Y10" s="268"/>
      <c r="Z10" s="269"/>
      <c r="AA10" s="276"/>
      <c r="AB10" s="271">
        <f>IF(AA10="",0,VLOOKUP(AA10,Daten!$B$2:$C$11,2,FALSE))</f>
        <v>0</v>
      </c>
      <c r="AC10" s="272"/>
      <c r="AD10" s="273"/>
      <c r="AE10" s="223">
        <v>6</v>
      </c>
      <c r="AJ10" s="260" t="s">
        <v>144</v>
      </c>
      <c r="AK10" s="260" t="str">
        <f>IF(MAX(U5:U24)&gt;$AK$4,"WAHR","FALSCH")</f>
        <v>FALSCH</v>
      </c>
    </row>
    <row r="11" spans="1:38" ht="12" customHeight="1" thickBot="1">
      <c r="A11" s="524" t="s">
        <v>26</v>
      </c>
      <c r="B11" s="524"/>
      <c r="C11" s="524"/>
      <c r="D11" s="525" t="str">
        <f ca="1">IF(INDIRECT($AK$1&amp;"!c1")="","",INDIRECT($AK$1&amp;"!c1")&amp;" "&amp;INDIRECT($AK$1&amp;"!e1"))</f>
        <v>b-Team 2</v>
      </c>
      <c r="E11" s="526"/>
      <c r="F11" s="526"/>
      <c r="G11" s="526"/>
      <c r="H11" s="527"/>
      <c r="I11" s="531" t="str">
        <f ca="1">IF(D11="","",UPPER(SUBSTITUTE(INDIRECT(AK1&amp;"!c2")," ","")))</f>
        <v>AB</v>
      </c>
      <c r="J11" s="373">
        <f ca="1">IF(INDIRECT($AJ$1&amp;"!a14")="","",INDIRECT($AJ$1&amp;"!a14"))</f>
        <v>7</v>
      </c>
      <c r="K11" s="266" t="s">
        <v>25</v>
      </c>
      <c r="L11" s="402" t="str">
        <f ca="1">IF(J11="","",CONCATENATE(IF(INDIRECT($AJ$1&amp;"!c14")="","",INDIRECT($AJ$1&amp;"!c14")),", ",IF(INDIRECT($AJ$1&amp;"!d14")="","",INDIRECT($AJ$1&amp;"!d14"))))</f>
        <v>A, g</v>
      </c>
      <c r="M11" s="403" t="str">
        <f t="shared" ca="1" si="3"/>
        <v>Trikotnummer</v>
      </c>
      <c r="N11" s="403" t="str">
        <f t="shared" ca="1" si="3"/>
        <v>Trikotnummer</v>
      </c>
      <c r="O11" s="404" t="str">
        <f t="shared" ca="1" si="3"/>
        <v>Trikotnummer</v>
      </c>
      <c r="P11" s="267">
        <f ca="1">IF(INDIRECT($AJ$1&amp;"!e14")="","",INDIRECT($AJ$1&amp;"!e14"))</f>
        <v>1006</v>
      </c>
      <c r="Q11" s="268"/>
      <c r="R11" s="269"/>
      <c r="S11" s="269"/>
      <c r="T11" s="374" t="str">
        <f t="shared" si="2"/>
        <v/>
      </c>
      <c r="U11" s="268"/>
      <c r="V11" s="269"/>
      <c r="W11" s="269"/>
      <c r="X11" s="374" t="str">
        <f t="shared" si="1"/>
        <v/>
      </c>
      <c r="Y11" s="268"/>
      <c r="Z11" s="269"/>
      <c r="AA11" s="276"/>
      <c r="AB11" s="271">
        <f>IF(AA11="",0,VLOOKUP(AA11,Daten!$B$2:$C$11,2,FALSE))</f>
        <v>0</v>
      </c>
      <c r="AC11" s="272"/>
      <c r="AD11" s="273"/>
      <c r="AE11" s="223">
        <v>7</v>
      </c>
      <c r="AJ11" s="260" t="s">
        <v>148</v>
      </c>
      <c r="AK11" s="260" t="str">
        <f>IF(MAX(Y5:Y26)&gt;$AK$4,"WAHR","FALSCH")</f>
        <v>FALSCH</v>
      </c>
    </row>
    <row r="12" spans="1:38" ht="12" customHeight="1" thickBot="1">
      <c r="A12" s="524"/>
      <c r="B12" s="524"/>
      <c r="C12" s="524"/>
      <c r="D12" s="528"/>
      <c r="E12" s="529"/>
      <c r="F12" s="529"/>
      <c r="G12" s="529"/>
      <c r="H12" s="530"/>
      <c r="I12" s="531"/>
      <c r="J12" s="373">
        <f ca="1">IF(INDIRECT($AJ$1&amp;"!a15")="","",INDIRECT($AJ$1&amp;"!a15"))</f>
        <v>8</v>
      </c>
      <c r="K12" s="266" t="s">
        <v>25</v>
      </c>
      <c r="L12" s="402" t="str">
        <f ca="1">IF(J12="","",CONCATENATE(IF(INDIRECT($AJ$1&amp;"!c15")="","",INDIRECT($AJ$1&amp;"!c15")),", ",IF(INDIRECT($AJ$1&amp;"!d15")="","",INDIRECT($AJ$1&amp;"!d15"))))</f>
        <v>A, h</v>
      </c>
      <c r="M12" s="403" t="str">
        <f t="shared" ca="1" si="3"/>
        <v>Trikotnummer</v>
      </c>
      <c r="N12" s="403" t="str">
        <f t="shared" ca="1" si="3"/>
        <v>Trikotnummer</v>
      </c>
      <c r="O12" s="404" t="str">
        <f t="shared" ca="1" si="3"/>
        <v>Trikotnummer</v>
      </c>
      <c r="P12" s="267">
        <f ca="1">IF(INDIRECT($AJ$1&amp;"!e15")="","",INDIRECT($AJ$1&amp;"!e15"))</f>
        <v>1007</v>
      </c>
      <c r="Q12" s="268"/>
      <c r="R12" s="269"/>
      <c r="S12" s="269"/>
      <c r="T12" s="374" t="str">
        <f t="shared" si="2"/>
        <v/>
      </c>
      <c r="U12" s="268"/>
      <c r="V12" s="269"/>
      <c r="W12" s="269"/>
      <c r="X12" s="374" t="str">
        <f t="shared" si="1"/>
        <v/>
      </c>
      <c r="Y12" s="268"/>
      <c r="Z12" s="269"/>
      <c r="AA12" s="276"/>
      <c r="AB12" s="271">
        <f>IF(AA12="",0,VLOOKUP(AA12,Daten!$B$2:$C$11,2,FALSE))</f>
        <v>0</v>
      </c>
      <c r="AC12" s="272"/>
      <c r="AD12" s="273"/>
      <c r="AE12" s="223">
        <v>8</v>
      </c>
      <c r="AJ12" s="260" t="s">
        <v>149</v>
      </c>
      <c r="AK12" s="260" t="str">
        <f>IF(MAX(AC5:AC26)&gt;$AK$4,"WAHR","FALSCH")</f>
        <v>FALSCH</v>
      </c>
    </row>
    <row r="13" spans="1:38" ht="12" customHeight="1" thickBot="1">
      <c r="A13" s="546" t="s">
        <v>301</v>
      </c>
      <c r="B13" s="547"/>
      <c r="C13" s="548"/>
      <c r="D13" s="549" t="str">
        <f>IF(Setup!B3="","",Setup!B3)</f>
        <v>a-Heim</v>
      </c>
      <c r="E13" s="549"/>
      <c r="F13" s="549"/>
      <c r="G13" s="226" t="s">
        <v>302</v>
      </c>
      <c r="H13" s="550" t="str">
        <f>IF(Setup!B4="","",Setup!B4)</f>
        <v/>
      </c>
      <c r="I13" s="550"/>
      <c r="J13" s="373">
        <f ca="1">IF(INDIRECT($AJ$1&amp;"!a16")="","",INDIRECT($AJ$1&amp;"!a16"))</f>
        <v>9</v>
      </c>
      <c r="K13" s="266" t="s">
        <v>25</v>
      </c>
      <c r="L13" s="402" t="str">
        <f ca="1">IF(J13="","",CONCATENATE(IF(INDIRECT($AJ$1&amp;"!c16")="","",INDIRECT($AJ$1&amp;"!c16")),", ",IF(INDIRECT($AJ$1&amp;"!d16")="","",INDIRECT($AJ$1&amp;"!d16"))))</f>
        <v>A, i</v>
      </c>
      <c r="M13" s="403"/>
      <c r="N13" s="403"/>
      <c r="O13" s="404"/>
      <c r="P13" s="267">
        <f ca="1">IF(INDIRECT($AJ$1&amp;"!e16")="","",INDIRECT($AJ$1&amp;"!e16"))</f>
        <v>1008</v>
      </c>
      <c r="Q13" s="268"/>
      <c r="R13" s="269"/>
      <c r="S13" s="269"/>
      <c r="T13" s="374" t="str">
        <f t="shared" si="2"/>
        <v/>
      </c>
      <c r="U13" s="268"/>
      <c r="V13" s="269"/>
      <c r="W13" s="269"/>
      <c r="X13" s="374" t="str">
        <f t="shared" si="1"/>
        <v/>
      </c>
      <c r="Y13" s="268"/>
      <c r="Z13" s="269"/>
      <c r="AA13" s="276"/>
      <c r="AB13" s="271">
        <f>IF(AA13="",0,VLOOKUP(AA13,Daten!$B$2:$C$11,2,FALSE))</f>
        <v>0</v>
      </c>
      <c r="AC13" s="272"/>
      <c r="AD13" s="273"/>
      <c r="AE13" s="223">
        <v>9</v>
      </c>
      <c r="AF13" s="258"/>
      <c r="AG13" s="393" t="s">
        <v>208</v>
      </c>
      <c r="AH13" s="393"/>
      <c r="AI13" s="259"/>
      <c r="AJ13" s="260" t="s">
        <v>145</v>
      </c>
      <c r="AK13" s="260" t="str">
        <f>IF(MAX(Q34:Q55)&gt;$AK$4,"WAHR","FALSCH")</f>
        <v>FALSCH</v>
      </c>
    </row>
    <row r="14" spans="1:38" ht="12" customHeight="1">
      <c r="A14" s="551" t="s">
        <v>89</v>
      </c>
      <c r="B14" s="552"/>
      <c r="C14" s="553"/>
      <c r="D14" s="549"/>
      <c r="E14" s="549"/>
      <c r="F14" s="549"/>
      <c r="G14" s="227" t="s">
        <v>90</v>
      </c>
      <c r="H14" s="550"/>
      <c r="I14" s="550"/>
      <c r="J14" s="373">
        <f ca="1">IF(INDIRECT($AJ$1&amp;"!a17")="","",INDIRECT($AJ$1&amp;"!a17"))</f>
        <v>10</v>
      </c>
      <c r="K14" s="266" t="s">
        <v>25</v>
      </c>
      <c r="L14" s="402" t="str">
        <f ca="1">IF(J14="","",CONCATENATE(IF(INDIRECT($AJ$1&amp;"!c17")="","",INDIRECT($AJ$1&amp;"!c17")),", ",IF(INDIRECT($AJ$1&amp;"!d17")="","",INDIRECT($AJ$1&amp;"!d17"))))</f>
        <v>A, j</v>
      </c>
      <c r="M14" s="403"/>
      <c r="N14" s="403"/>
      <c r="O14" s="404"/>
      <c r="P14" s="267">
        <f ca="1">IF(INDIRECT($AJ$1&amp;"!e17")="","",INDIRECT($AJ$1&amp;"!e17"))</f>
        <v>1009</v>
      </c>
      <c r="Q14" s="268"/>
      <c r="R14" s="269"/>
      <c r="S14" s="269"/>
      <c r="T14" s="374" t="str">
        <f t="shared" si="2"/>
        <v/>
      </c>
      <c r="U14" s="268"/>
      <c r="V14" s="269"/>
      <c r="W14" s="269"/>
      <c r="X14" s="374" t="str">
        <f t="shared" si="1"/>
        <v/>
      </c>
      <c r="Y14" s="268"/>
      <c r="Z14" s="269"/>
      <c r="AA14" s="276"/>
      <c r="AB14" s="271">
        <f>IF(AA14="",0,VLOOKUP(AA14,Daten!$B$2:$C$11,2,FALSE))</f>
        <v>0</v>
      </c>
      <c r="AC14" s="272"/>
      <c r="AD14" s="273"/>
      <c r="AE14" s="223">
        <v>10</v>
      </c>
      <c r="AF14" s="262"/>
      <c r="AG14" s="263"/>
      <c r="AH14" s="263"/>
      <c r="AI14" s="264"/>
      <c r="AJ14" s="260" t="s">
        <v>146</v>
      </c>
      <c r="AK14" s="260" t="str">
        <f>IF(MAX(U34:U53)&gt;$AK$4,"WAHR","FALSCH")</f>
        <v>FALSCH</v>
      </c>
    </row>
    <row r="15" spans="1:38" ht="12" customHeight="1">
      <c r="A15" s="366" t="s">
        <v>308</v>
      </c>
      <c r="B15" s="228"/>
      <c r="C15" s="499" t="str">
        <f>IF(Setup!B5="","",Setup!B5)</f>
        <v/>
      </c>
      <c r="D15" s="365" t="s">
        <v>310</v>
      </c>
      <c r="E15" s="229"/>
      <c r="F15" s="500" t="str">
        <f>IF(Setup!B6="","",Setup!B6)</f>
        <v/>
      </c>
      <c r="G15" s="502" t="s">
        <v>304</v>
      </c>
      <c r="H15" s="503"/>
      <c r="I15" s="501" t="str">
        <f>IF(Setup!B7="","",Setup!B7)</f>
        <v/>
      </c>
      <c r="J15" s="373">
        <f ca="1">IF(INDIRECT($AJ$1&amp;"!a18")="","",INDIRECT($AJ$1&amp;"!a18"))</f>
        <v>11</v>
      </c>
      <c r="K15" s="266" t="s">
        <v>25</v>
      </c>
      <c r="L15" s="402" t="str">
        <f ca="1">IF(J15="","",CONCATENATE(IF(INDIRECT($AJ$1&amp;"!c18")="","",INDIRECT($AJ$1&amp;"!c18")),", ",IF(INDIRECT($AJ$1&amp;"!d18")="","",INDIRECT($AJ$1&amp;"!d18"))))</f>
        <v>A, k</v>
      </c>
      <c r="M15" s="403"/>
      <c r="N15" s="403"/>
      <c r="O15" s="404"/>
      <c r="P15" s="267">
        <f ca="1">IF(INDIRECT($AJ$1&amp;"!e18")="","",INDIRECT($AJ$1&amp;"!e18"))</f>
        <v>1010</v>
      </c>
      <c r="Q15" s="268"/>
      <c r="R15" s="269"/>
      <c r="S15" s="269"/>
      <c r="T15" s="374" t="str">
        <f t="shared" si="2"/>
        <v/>
      </c>
      <c r="U15" s="268"/>
      <c r="V15" s="269"/>
      <c r="W15" s="269"/>
      <c r="X15" s="374" t="str">
        <f t="shared" si="1"/>
        <v/>
      </c>
      <c r="Y15" s="268"/>
      <c r="Z15" s="269"/>
      <c r="AA15" s="276"/>
      <c r="AB15" s="271">
        <f>IF(AA15="",0,VLOOKUP(AA15,Daten!$B$2:$C$11,2,FALSE))</f>
        <v>0</v>
      </c>
      <c r="AC15" s="272"/>
      <c r="AD15" s="273"/>
      <c r="AE15" s="223">
        <v>11</v>
      </c>
      <c r="AF15" s="262"/>
      <c r="AG15" s="263"/>
      <c r="AH15" s="263"/>
      <c r="AI15" s="264"/>
      <c r="AJ15" s="260" t="s">
        <v>147</v>
      </c>
      <c r="AK15" s="260" t="str">
        <f>IF(MAX(Y34:Y55)&gt;$AK$4,"WAHR","FALSCH")</f>
        <v>FALSCH</v>
      </c>
    </row>
    <row r="16" spans="1:38" ht="12" customHeight="1">
      <c r="A16" s="367" t="s">
        <v>309</v>
      </c>
      <c r="B16" s="230"/>
      <c r="C16" s="499"/>
      <c r="D16" s="372" t="s">
        <v>283</v>
      </c>
      <c r="E16" s="231"/>
      <c r="F16" s="500"/>
      <c r="G16" s="504" t="s">
        <v>303</v>
      </c>
      <c r="H16" s="505"/>
      <c r="I16" s="501"/>
      <c r="J16" s="373">
        <f ca="1">IF(INDIRECT($AJ$1&amp;"!a19")="","",INDIRECT($AJ$1&amp;"!a19"))</f>
        <v>12</v>
      </c>
      <c r="K16" s="266" t="s">
        <v>25</v>
      </c>
      <c r="L16" s="402" t="str">
        <f ca="1">IF(J16="","",CONCATENATE(IF(INDIRECT($AJ$1&amp;"!c19")="","",INDIRECT($AJ$1&amp;"!c19")),", ",IF(INDIRECT($AJ$1&amp;"!d19")="","",INDIRECT($AJ$1&amp;"!d19"))))</f>
        <v>A, l</v>
      </c>
      <c r="M16" s="403"/>
      <c r="N16" s="403"/>
      <c r="O16" s="404"/>
      <c r="P16" s="267">
        <f ca="1">IF(INDIRECT($AJ$1&amp;"!e19")="","",INDIRECT($AJ$1&amp;"!e19"))</f>
        <v>1011</v>
      </c>
      <c r="Q16" s="268"/>
      <c r="R16" s="269"/>
      <c r="S16" s="269"/>
      <c r="T16" s="374" t="str">
        <f t="shared" si="2"/>
        <v/>
      </c>
      <c r="U16" s="268"/>
      <c r="V16" s="269"/>
      <c r="W16" s="269"/>
      <c r="X16" s="374" t="str">
        <f t="shared" si="1"/>
        <v/>
      </c>
      <c r="Y16" s="268"/>
      <c r="Z16" s="269"/>
      <c r="AA16" s="276"/>
      <c r="AB16" s="271">
        <f>IF(AA16="",0,VLOOKUP(AA16,Daten!$B$2:$C$11,2,FALSE))</f>
        <v>0</v>
      </c>
      <c r="AC16" s="272"/>
      <c r="AD16" s="273"/>
      <c r="AE16" s="223">
        <v>12</v>
      </c>
      <c r="AF16" s="262"/>
      <c r="AG16" s="263"/>
      <c r="AH16" s="263"/>
      <c r="AI16" s="264"/>
      <c r="AJ16" s="260" t="s">
        <v>150</v>
      </c>
      <c r="AK16" s="260" t="str">
        <f>IF(MAX(AC34:AC55)&gt;$AK$4,"WAHR","FALSCH")</f>
        <v>FALSCH</v>
      </c>
    </row>
    <row r="17" spans="1:39" ht="12" customHeight="1">
      <c r="A17" s="506" t="s">
        <v>313</v>
      </c>
      <c r="B17" s="507"/>
      <c r="C17" s="507"/>
      <c r="D17" s="508"/>
      <c r="E17" s="232"/>
      <c r="F17" s="281" t="str">
        <f>IF(Setup!B8="Meisterschaft","X","")</f>
        <v>X</v>
      </c>
      <c r="G17" s="512" t="s">
        <v>305</v>
      </c>
      <c r="H17" s="508"/>
      <c r="I17" s="281" t="str">
        <f>IF(Setup!$B$8="Freundschaft","X","")</f>
        <v/>
      </c>
      <c r="J17" s="373">
        <f ca="1">IF(INDIRECT($AJ$1&amp;"!a20")="","",INDIRECT($AJ$1&amp;"!a20"))</f>
        <v>13</v>
      </c>
      <c r="K17" s="266" t="s">
        <v>25</v>
      </c>
      <c r="L17" s="402" t="str">
        <f ca="1">IF(J17="","",CONCATENATE(IF(INDIRECT($AJ$1&amp;"!c20")="","",INDIRECT($AJ$1&amp;"!c20")),", ",IF(INDIRECT($AJ$1&amp;"!d20")="","",INDIRECT($AJ$1&amp;"!d20"))))</f>
        <v>A, m</v>
      </c>
      <c r="M17" s="403" t="str">
        <f t="shared" ref="M17:O18" ca="1" si="4">IF(INDIRECT($AJ$1&amp;"!A7")="","",INDIRECT($AJ$1&amp;"!A7"))</f>
        <v>Trikotnummer</v>
      </c>
      <c r="N17" s="403" t="str">
        <f t="shared" ca="1" si="4"/>
        <v>Trikotnummer</v>
      </c>
      <c r="O17" s="404" t="str">
        <f t="shared" ca="1" si="4"/>
        <v>Trikotnummer</v>
      </c>
      <c r="P17" s="267">
        <f ca="1">IF(INDIRECT($AJ$1&amp;"!e20")="","",INDIRECT($AJ$1&amp;"!e20"))</f>
        <v>1012</v>
      </c>
      <c r="Q17" s="268"/>
      <c r="R17" s="269"/>
      <c r="S17" s="269"/>
      <c r="T17" s="374" t="str">
        <f t="shared" si="2"/>
        <v/>
      </c>
      <c r="U17" s="268"/>
      <c r="V17" s="269"/>
      <c r="W17" s="269"/>
      <c r="X17" s="374" t="str">
        <f t="shared" si="1"/>
        <v/>
      </c>
      <c r="Y17" s="268"/>
      <c r="Z17" s="269"/>
      <c r="AA17" s="276"/>
      <c r="AB17" s="271">
        <f>IF(AA17="",0,VLOOKUP(AA17,Daten!$B$2:$C$11,2,FALSE))</f>
        <v>0</v>
      </c>
      <c r="AC17" s="272"/>
      <c r="AD17" s="273"/>
      <c r="AE17" s="223">
        <v>13</v>
      </c>
      <c r="AF17" s="262"/>
      <c r="AG17" s="263"/>
      <c r="AH17" s="263"/>
      <c r="AI17" s="264"/>
    </row>
    <row r="18" spans="1:39" ht="12" customHeight="1" thickBot="1">
      <c r="A18" s="506" t="s">
        <v>312</v>
      </c>
      <c r="B18" s="507"/>
      <c r="C18" s="507"/>
      <c r="D18" s="508"/>
      <c r="E18" s="232"/>
      <c r="F18" s="281" t="str">
        <f>IF(Setup!$B$8="Turnier","X","")</f>
        <v/>
      </c>
      <c r="G18" s="512" t="s">
        <v>306</v>
      </c>
      <c r="H18" s="508"/>
      <c r="I18" s="281" t="str">
        <f>IF(Setup!$B$8="Pokal","X","")</f>
        <v/>
      </c>
      <c r="J18" s="373">
        <f ca="1">IF(INDIRECT($AJ$1&amp;"!a21")="","",INDIRECT($AJ$1&amp;"!a21"))</f>
        <v>14</v>
      </c>
      <c r="K18" s="266" t="s">
        <v>25</v>
      </c>
      <c r="L18" s="402" t="str">
        <f ca="1">IF(J18="","",CONCATENATE(IF(INDIRECT($AJ$1&amp;"!c21")="","",INDIRECT($AJ$1&amp;"!c21")),", ",IF(INDIRECT($AJ$1&amp;"!d21")="","",INDIRECT($AJ$1&amp;"!d21"))))</f>
        <v>A, n</v>
      </c>
      <c r="M18" s="403" t="str">
        <f t="shared" ca="1" si="4"/>
        <v>Trikotnummer</v>
      </c>
      <c r="N18" s="403" t="str">
        <f t="shared" ca="1" si="4"/>
        <v>Trikotnummer</v>
      </c>
      <c r="O18" s="404" t="str">
        <f t="shared" ca="1" si="4"/>
        <v>Trikotnummer</v>
      </c>
      <c r="P18" s="267">
        <f ca="1">IF(INDIRECT($AJ$1&amp;"!e21")="","",INDIRECT($AJ$1&amp;"!e21"))</f>
        <v>1013</v>
      </c>
      <c r="Q18" s="268"/>
      <c r="R18" s="269"/>
      <c r="S18" s="269"/>
      <c r="T18" s="374" t="str">
        <f t="shared" si="2"/>
        <v/>
      </c>
      <c r="U18" s="268"/>
      <c r="V18" s="269"/>
      <c r="W18" s="269"/>
      <c r="X18" s="374" t="str">
        <f t="shared" si="1"/>
        <v/>
      </c>
      <c r="Y18" s="268"/>
      <c r="Z18" s="269"/>
      <c r="AA18" s="276"/>
      <c r="AB18" s="271">
        <f>IF(AA18="",0,VLOOKUP(AA18,Daten!$B$2:$C$11,2,FALSE))</f>
        <v>0</v>
      </c>
      <c r="AC18" s="272"/>
      <c r="AD18" s="273"/>
      <c r="AE18" s="223">
        <v>14</v>
      </c>
      <c r="AF18" s="278"/>
      <c r="AG18" s="279"/>
      <c r="AH18" s="279"/>
      <c r="AI18" s="280"/>
      <c r="AJ18" s="260" t="s">
        <v>151</v>
      </c>
    </row>
    <row r="19" spans="1:39" ht="12" customHeight="1" thickBot="1">
      <c r="A19" s="509" t="s">
        <v>311</v>
      </c>
      <c r="B19" s="510"/>
      <c r="C19" s="510"/>
      <c r="D19" s="511"/>
      <c r="E19" s="233"/>
      <c r="F19" s="282" t="str">
        <f>IF(Setup!$B$8="Sonstiges","X","")</f>
        <v/>
      </c>
      <c r="G19" s="513" t="s">
        <v>307</v>
      </c>
      <c r="H19" s="511"/>
      <c r="I19" s="283">
        <f>IF(Setup!B9="","",Setup!B9)</f>
        <v>300</v>
      </c>
      <c r="J19" s="373">
        <f ca="1">IF(INDIRECT($AJ$1&amp;"!a22")="","",INDIRECT($AJ$1&amp;"!a22"))</f>
        <v>15</v>
      </c>
      <c r="K19" s="266" t="s">
        <v>25</v>
      </c>
      <c r="L19" s="402" t="str">
        <f ca="1">IF(J19="","",CONCATENATE(IF(INDIRECT($AJ$1&amp;"!c22")="","",INDIRECT($AJ$1&amp;"!c22")),", ",IF(INDIRECT($AJ$1&amp;"!d22")="","",INDIRECT($AJ$1&amp;"!d22"))))</f>
        <v>A, o</v>
      </c>
      <c r="M19" s="403" t="str">
        <f t="shared" ref="M19:O22" ca="1" si="5">IF(INDIRECT($AJ$1&amp;"!A7")="","",INDIRECT($AJ$1&amp;"!A7"))</f>
        <v>Trikotnummer</v>
      </c>
      <c r="N19" s="403" t="str">
        <f t="shared" ca="1" si="5"/>
        <v>Trikotnummer</v>
      </c>
      <c r="O19" s="404" t="str">
        <f t="shared" ca="1" si="5"/>
        <v>Trikotnummer</v>
      </c>
      <c r="P19" s="267">
        <f ca="1">IF(INDIRECT($AJ$1&amp;"!e22")="","",INDIRECT($AJ$1&amp;"!e22"))</f>
        <v>1014</v>
      </c>
      <c r="Q19" s="268"/>
      <c r="R19" s="269"/>
      <c r="S19" s="269"/>
      <c r="T19" s="374" t="str">
        <f t="shared" si="2"/>
        <v/>
      </c>
      <c r="U19" s="268"/>
      <c r="V19" s="269"/>
      <c r="W19" s="269"/>
      <c r="X19" s="374" t="str">
        <f t="shared" si="1"/>
        <v/>
      </c>
      <c r="Y19" s="268"/>
      <c r="Z19" s="269"/>
      <c r="AA19" s="276"/>
      <c r="AB19" s="271">
        <f>IF(AA19="",0,VLOOKUP(AA19,Daten!$B$2:$C$11,2,FALSE))</f>
        <v>0</v>
      </c>
      <c r="AC19" s="272"/>
      <c r="AD19" s="273"/>
      <c r="AE19" s="223">
        <v>15</v>
      </c>
      <c r="AJ19" s="260" t="s">
        <v>143</v>
      </c>
      <c r="AK19" s="260">
        <f>_xlfn.IFNA(VLOOKUP("GWG",Q5:Q26,1,FALSE),0)</f>
        <v>0</v>
      </c>
      <c r="AL19" s="260" t="str">
        <f>_xlfn.IFNA(MATCH("GWG",AK19:AK20,0),"0")</f>
        <v>0</v>
      </c>
      <c r="AM19" s="260" t="str">
        <f>_xlfn.IFNA(MATCH("GWG",AK19:AK22,0),"0")</f>
        <v>0</v>
      </c>
    </row>
    <row r="20" spans="1:39" ht="12" customHeight="1">
      <c r="A20" s="497"/>
      <c r="B20" s="375"/>
      <c r="C20" s="516" t="s">
        <v>317</v>
      </c>
      <c r="D20" s="517"/>
      <c r="E20" s="234"/>
      <c r="F20" s="218" t="s">
        <v>315</v>
      </c>
      <c r="G20" s="218" t="s">
        <v>314</v>
      </c>
      <c r="H20" s="516" t="s">
        <v>45</v>
      </c>
      <c r="I20" s="518"/>
      <c r="J20" s="373">
        <f ca="1">IF(INDIRECT($AJ$1&amp;"!a23")="","",INDIRECT($AJ$1&amp;"!a23"))</f>
        <v>16</v>
      </c>
      <c r="K20" s="266" t="s">
        <v>25</v>
      </c>
      <c r="L20" s="402" t="str">
        <f ca="1">IF(J20="","",CONCATENATE(IF(INDIRECT($AJ$1&amp;"!c23")="","",INDIRECT($AJ$1&amp;"!c23")),", ",IF(INDIRECT($AJ$1&amp;"!d23")="","",INDIRECT($AJ$1&amp;"!d23"))))</f>
        <v>A, p</v>
      </c>
      <c r="M20" s="403" t="str">
        <f t="shared" ca="1" si="5"/>
        <v>Trikotnummer</v>
      </c>
      <c r="N20" s="403" t="str">
        <f t="shared" ca="1" si="5"/>
        <v>Trikotnummer</v>
      </c>
      <c r="O20" s="404" t="str">
        <f t="shared" ca="1" si="5"/>
        <v>Trikotnummer</v>
      </c>
      <c r="P20" s="267">
        <f ca="1">IF(INDIRECT($AJ$1&amp;"!e23")="","",INDIRECT($AJ$1&amp;"!e23"))</f>
        <v>1015</v>
      </c>
      <c r="Q20" s="268"/>
      <c r="R20" s="269"/>
      <c r="S20" s="269"/>
      <c r="T20" s="374" t="str">
        <f t="shared" si="2"/>
        <v/>
      </c>
      <c r="U20" s="268"/>
      <c r="V20" s="269"/>
      <c r="W20" s="269"/>
      <c r="X20" s="374" t="str">
        <f t="shared" si="1"/>
        <v/>
      </c>
      <c r="Y20" s="268"/>
      <c r="Z20" s="269"/>
      <c r="AA20" s="276"/>
      <c r="AB20" s="271">
        <f>IF(AA20="",0,VLOOKUP(AA20,Daten!$B$2:$C$11,2,FALSE))</f>
        <v>0</v>
      </c>
      <c r="AC20" s="272"/>
      <c r="AD20" s="273"/>
      <c r="AE20" s="223">
        <v>16</v>
      </c>
      <c r="AJ20" s="260" t="s">
        <v>144</v>
      </c>
      <c r="AK20" s="260">
        <f>_xlfn.IFNA(VLOOKUP("GWG",U5:U24,1,FALSE),0)</f>
        <v>0</v>
      </c>
    </row>
    <row r="21" spans="1:39" ht="12" customHeight="1">
      <c r="A21" s="498"/>
      <c r="B21" s="284"/>
      <c r="C21" s="514" t="s">
        <v>318</v>
      </c>
      <c r="D21" s="515"/>
      <c r="E21" s="235"/>
      <c r="F21" s="221" t="s">
        <v>316</v>
      </c>
      <c r="G21" s="221" t="s">
        <v>97</v>
      </c>
      <c r="H21" s="514" t="s">
        <v>54</v>
      </c>
      <c r="I21" s="519"/>
      <c r="J21" s="373">
        <f ca="1">IF(INDIRECT($AJ$1&amp;"!a24")="","",INDIRECT($AJ$1&amp;"!a24"))</f>
        <v>17</v>
      </c>
      <c r="K21" s="266" t="s">
        <v>25</v>
      </c>
      <c r="L21" s="402" t="str">
        <f ca="1">IF(J21="","",CONCATENATE(IF(INDIRECT($AJ$1&amp;"!c24")="","",INDIRECT($AJ$1&amp;"!c24")),", ",IF(INDIRECT($AJ$1&amp;"!d24")="","",INDIRECT($AJ$1&amp;"!d24"))))</f>
        <v>A, q</v>
      </c>
      <c r="M21" s="403" t="str">
        <f t="shared" ca="1" si="5"/>
        <v>Trikotnummer</v>
      </c>
      <c r="N21" s="403" t="str">
        <f t="shared" ca="1" si="5"/>
        <v>Trikotnummer</v>
      </c>
      <c r="O21" s="404" t="str">
        <f t="shared" ca="1" si="5"/>
        <v>Trikotnummer</v>
      </c>
      <c r="P21" s="267">
        <f ca="1">IF(INDIRECT($AJ$1&amp;"!e24")="","",INDIRECT($AJ$1&amp;"!e24"))</f>
        <v>1016</v>
      </c>
      <c r="Q21" s="268"/>
      <c r="R21" s="269"/>
      <c r="S21" s="269"/>
      <c r="T21" s="374" t="str">
        <f t="shared" si="2"/>
        <v/>
      </c>
      <c r="U21" s="268"/>
      <c r="V21" s="269"/>
      <c r="W21" s="269"/>
      <c r="X21" s="374" t="str">
        <f t="shared" si="1"/>
        <v/>
      </c>
      <c r="Y21" s="268"/>
      <c r="Z21" s="269"/>
      <c r="AA21" s="276"/>
      <c r="AB21" s="271">
        <f>IF(AA21="",0,VLOOKUP(AA21,Daten!$B$2:$C$11,2,FALSE))</f>
        <v>0</v>
      </c>
      <c r="AC21" s="272"/>
      <c r="AD21" s="273"/>
      <c r="AE21" s="223">
        <v>17</v>
      </c>
      <c r="AG21" s="285" t="s">
        <v>272</v>
      </c>
      <c r="AH21" s="286" t="s">
        <v>348</v>
      </c>
      <c r="AJ21" s="260" t="s">
        <v>145</v>
      </c>
      <c r="AK21" s="260">
        <f>_xlfn.IFNA(VLOOKUP("GWG",Q34:Q55,1,FALSE),0)</f>
        <v>0</v>
      </c>
      <c r="AL21" s="260" t="str">
        <f>_xlfn.IFNA(MATCH("GWG",AK21:AK22,0),"0")</f>
        <v>0</v>
      </c>
    </row>
    <row r="22" spans="1:39" ht="12" customHeight="1" thickBot="1">
      <c r="A22" s="370" t="s">
        <v>49</v>
      </c>
      <c r="B22" s="236"/>
      <c r="C22" s="473" t="str">
        <f>IF(Setup!E4="","",Setup!E4)</f>
        <v>5001</v>
      </c>
      <c r="D22" s="473"/>
      <c r="E22" s="287"/>
      <c r="F22" s="474" t="str">
        <f>IF(Setup!G4="","",Setup!G4)</f>
        <v>C</v>
      </c>
      <c r="G22" s="474" t="str">
        <f>IF(Setup!H4="","",Setup!H4)</f>
        <v>a</v>
      </c>
      <c r="H22" s="476"/>
      <c r="I22" s="476"/>
      <c r="J22" s="373">
        <f ca="1">IF(INDIRECT($AJ$1&amp;"!a25")="","",INDIRECT($AJ$1&amp;"!a25"))</f>
        <v>18</v>
      </c>
      <c r="K22" s="266" t="s">
        <v>25</v>
      </c>
      <c r="L22" s="402" t="str">
        <f ca="1">IF(J22="","",CONCATENATE(IF(INDIRECT($AJ$1&amp;"!c25")="","",INDIRECT($AJ$1&amp;"!c25")),", ",IF(INDIRECT($AJ$1&amp;"!d25")="","",INDIRECT($AJ$1&amp;"!d25"))))</f>
        <v>A, r</v>
      </c>
      <c r="M22" s="403" t="str">
        <f t="shared" ca="1" si="5"/>
        <v>Trikotnummer</v>
      </c>
      <c r="N22" s="403" t="str">
        <f t="shared" ca="1" si="5"/>
        <v>Trikotnummer</v>
      </c>
      <c r="O22" s="404" t="str">
        <f t="shared" ca="1" si="5"/>
        <v>Trikotnummer</v>
      </c>
      <c r="P22" s="267">
        <f ca="1">IF(INDIRECT($AJ$1&amp;"!e25")="","",INDIRECT($AJ$1&amp;"!e25"))</f>
        <v>1017</v>
      </c>
      <c r="Q22" s="268"/>
      <c r="R22" s="269"/>
      <c r="S22" s="269"/>
      <c r="T22" s="374" t="str">
        <f t="shared" si="2"/>
        <v/>
      </c>
      <c r="U22" s="268"/>
      <c r="V22" s="269"/>
      <c r="W22" s="269"/>
      <c r="X22" s="374" t="str">
        <f t="shared" si="1"/>
        <v/>
      </c>
      <c r="Y22" s="268"/>
      <c r="Z22" s="269"/>
      <c r="AA22" s="276"/>
      <c r="AB22" s="271">
        <f>IF(AA22="",0,VLOOKUP(AA22,Daten!$B$2:$C$11,2,FALSE))</f>
        <v>0</v>
      </c>
      <c r="AC22" s="272"/>
      <c r="AD22" s="273"/>
      <c r="AE22" s="223">
        <v>18</v>
      </c>
      <c r="AJ22" s="260" t="s">
        <v>146</v>
      </c>
      <c r="AK22" s="260">
        <f>_xlfn.IFNA(VLOOKUP("GWG",U34:U53,1,FALSE),0)</f>
        <v>0</v>
      </c>
    </row>
    <row r="23" spans="1:39" ht="6" customHeight="1" thickBot="1">
      <c r="A23" s="388" t="s">
        <v>50</v>
      </c>
      <c r="B23" s="237"/>
      <c r="C23" s="473"/>
      <c r="D23" s="473"/>
      <c r="E23" s="287"/>
      <c r="F23" s="474"/>
      <c r="G23" s="474"/>
      <c r="H23" s="476"/>
      <c r="I23" s="476"/>
      <c r="J23" s="395" t="s">
        <v>51</v>
      </c>
      <c r="K23" s="396"/>
      <c r="L23" s="496" t="s">
        <v>319</v>
      </c>
      <c r="M23" s="441" t="s">
        <v>45</v>
      </c>
      <c r="N23" s="441"/>
      <c r="O23" s="441"/>
      <c r="P23" s="452">
        <f ca="1">IF(INDIRECT($AJ$1&amp;"!g1")="","",INDIRECT($AJ$1&amp;"!g1"))</f>
        <v>18</v>
      </c>
      <c r="Q23" s="423"/>
      <c r="R23" s="414"/>
      <c r="S23" s="414"/>
      <c r="T23" s="426" t="str">
        <f>IF(TRIM(Q23)="","",T22+1)</f>
        <v/>
      </c>
      <c r="U23" s="423"/>
      <c r="V23" s="414"/>
      <c r="W23" s="414"/>
      <c r="X23" s="426" t="str">
        <f t="shared" si="1"/>
        <v/>
      </c>
      <c r="Y23" s="423"/>
      <c r="Z23" s="414"/>
      <c r="AA23" s="416"/>
      <c r="AB23" s="435">
        <f>IF(AA23="",0,VLOOKUP(AA23,Daten!$B$2:$C$11,2,FALSE))</f>
        <v>0</v>
      </c>
      <c r="AC23" s="418"/>
      <c r="AD23" s="420"/>
      <c r="AE23" s="422">
        <v>19</v>
      </c>
    </row>
    <row r="24" spans="1:39" ht="6" customHeight="1" thickBot="1">
      <c r="A24" s="389"/>
      <c r="B24" s="232"/>
      <c r="C24" s="473"/>
      <c r="D24" s="473"/>
      <c r="E24" s="287"/>
      <c r="F24" s="474"/>
      <c r="G24" s="474"/>
      <c r="H24" s="476"/>
      <c r="I24" s="476"/>
      <c r="J24" s="397"/>
      <c r="K24" s="398"/>
      <c r="L24" s="496"/>
      <c r="M24" s="455" t="s">
        <v>54</v>
      </c>
      <c r="N24" s="455"/>
      <c r="O24" s="455"/>
      <c r="P24" s="453"/>
      <c r="Q24" s="424"/>
      <c r="R24" s="425"/>
      <c r="S24" s="425"/>
      <c r="T24" s="433"/>
      <c r="U24" s="424"/>
      <c r="V24" s="425"/>
      <c r="W24" s="415"/>
      <c r="X24" s="427"/>
      <c r="Y24" s="424"/>
      <c r="Z24" s="425"/>
      <c r="AA24" s="430"/>
      <c r="AB24" s="436">
        <f>IF(AA24="",0,VLOOKUP(AA24,Daten!$B$2:$C$11,2,FALSE))</f>
        <v>0</v>
      </c>
      <c r="AC24" s="431"/>
      <c r="AD24" s="432"/>
      <c r="AE24" s="422"/>
    </row>
    <row r="25" spans="1:39" ht="6" customHeight="1" thickBot="1">
      <c r="A25" s="392" t="s">
        <v>55</v>
      </c>
      <c r="B25" s="236"/>
      <c r="C25" s="473" t="str">
        <f>IF(Setup!E5="","",Setup!E5)</f>
        <v>5002</v>
      </c>
      <c r="D25" s="473"/>
      <c r="E25" s="287"/>
      <c r="F25" s="474" t="str">
        <f>IF(Setup!G5="","",Setup!G5)</f>
        <v>C</v>
      </c>
      <c r="G25" s="474" t="str">
        <f>IF(Setup!H5="","",Setup!H5)</f>
        <v>b</v>
      </c>
      <c r="H25" s="476"/>
      <c r="I25" s="476"/>
      <c r="J25" s="397"/>
      <c r="K25" s="398"/>
      <c r="L25" s="496"/>
      <c r="M25" s="456"/>
      <c r="N25" s="456"/>
      <c r="O25" s="456"/>
      <c r="P25" s="454"/>
      <c r="Q25" s="423"/>
      <c r="R25" s="414"/>
      <c r="S25" s="414"/>
      <c r="T25" s="426" t="str">
        <f>IF(TRIM(Q25)="","",T23+1)</f>
        <v/>
      </c>
      <c r="U25" s="428" t="s">
        <v>57</v>
      </c>
      <c r="V25" s="428"/>
      <c r="W25" s="429">
        <f>COUNT($T$5:$T$26,$X$5:$X$24)</f>
        <v>0</v>
      </c>
      <c r="X25" s="429">
        <f>COUNTA($T$5:$T$26,$X$5:$X$24)</f>
        <v>39</v>
      </c>
      <c r="Y25" s="423"/>
      <c r="Z25" s="414"/>
      <c r="AA25" s="416"/>
      <c r="AB25" s="435">
        <f>IF(AA25="",0,VLOOKUP(AA25,Daten!$B$2:$C$11,2,FALSE))</f>
        <v>0</v>
      </c>
      <c r="AC25" s="418"/>
      <c r="AD25" s="420"/>
      <c r="AE25" s="422">
        <v>20</v>
      </c>
      <c r="AJ25" s="364"/>
      <c r="AK25" s="364"/>
      <c r="AL25" s="364"/>
      <c r="AM25" s="364"/>
    </row>
    <row r="26" spans="1:39" ht="6" customHeight="1" thickBot="1">
      <c r="A26" s="388"/>
      <c r="B26" s="237"/>
      <c r="C26" s="473"/>
      <c r="D26" s="473"/>
      <c r="E26" s="287"/>
      <c r="F26" s="474"/>
      <c r="G26" s="474"/>
      <c r="H26" s="476"/>
      <c r="I26" s="476"/>
      <c r="J26" s="397"/>
      <c r="K26" s="398"/>
      <c r="L26" s="444" t="str">
        <f ca="1">IF(D9="","",IF(INDIRECT($AJ$1&amp;"!c5")="","",IF(INDIRECT($AJ$1&amp;"!d5")="","",CONCATENATE(INDIRECT($AJ$1&amp;"!c5"),", ",INDIRECT($AJ$1&amp;"!d5")))))</f>
        <v>A, z</v>
      </c>
      <c r="M26" s="445"/>
      <c r="N26" s="446"/>
      <c r="O26" s="446"/>
      <c r="P26" s="447"/>
      <c r="Q26" s="434"/>
      <c r="R26" s="415"/>
      <c r="S26" s="415"/>
      <c r="T26" s="427"/>
      <c r="U26" s="428"/>
      <c r="V26" s="428"/>
      <c r="W26" s="429">
        <f>COUNTA($T$5:$T$26,$X$5:$X$24)</f>
        <v>39</v>
      </c>
      <c r="X26" s="429">
        <f>COUNTA($T$5:$T$26,$X$5:$X$24)</f>
        <v>39</v>
      </c>
      <c r="Y26" s="434"/>
      <c r="Z26" s="415"/>
      <c r="AA26" s="417"/>
      <c r="AB26" s="437">
        <f>IF(AA26="",0,VLOOKUP(AA26,Daten!$B$2:$C$11,2,FALSE))</f>
        <v>0</v>
      </c>
      <c r="AC26" s="419"/>
      <c r="AD26" s="421"/>
      <c r="AE26" s="422"/>
      <c r="AF26" s="147"/>
      <c r="AG26" s="324"/>
      <c r="AH26" s="324"/>
      <c r="AI26" s="324"/>
    </row>
    <row r="27" spans="1:39" ht="12" customHeight="1" thickBot="1">
      <c r="A27" s="369" t="s">
        <v>58</v>
      </c>
      <c r="B27" s="238"/>
      <c r="C27" s="473"/>
      <c r="D27" s="473"/>
      <c r="E27" s="287"/>
      <c r="F27" s="474"/>
      <c r="G27" s="474"/>
      <c r="H27" s="476"/>
      <c r="I27" s="476"/>
      <c r="J27" s="399"/>
      <c r="K27" s="400"/>
      <c r="L27" s="444"/>
      <c r="M27" s="448"/>
      <c r="N27" s="449"/>
      <c r="O27" s="449"/>
      <c r="P27" s="450"/>
      <c r="Q27" s="451" t="s">
        <v>60</v>
      </c>
      <c r="R27" s="451"/>
      <c r="S27" s="451"/>
      <c r="T27" s="451"/>
      <c r="U27" s="330"/>
      <c r="V27" s="331"/>
      <c r="W27" s="331"/>
      <c r="X27" s="332"/>
      <c r="Y27" s="451" t="s">
        <v>57</v>
      </c>
      <c r="Z27" s="451"/>
      <c r="AA27" s="451"/>
      <c r="AB27" s="239"/>
      <c r="AC27" s="288">
        <f>SUM(AB5:AB22)+AB23+AB25</f>
        <v>0</v>
      </c>
      <c r="AD27" s="240" t="s">
        <v>61</v>
      </c>
      <c r="AE27" s="257"/>
    </row>
    <row r="28" spans="1:39" ht="8.25" customHeight="1" thickBot="1">
      <c r="A28" s="387" t="s">
        <v>321</v>
      </c>
      <c r="B28" s="237"/>
      <c r="C28" s="473" t="str">
        <f>IF(Setup!E6="","",Setup!E6)</f>
        <v>5003</v>
      </c>
      <c r="D28" s="473"/>
      <c r="E28" s="287"/>
      <c r="F28" s="474" t="str">
        <f>IF(Setup!G6="","",Setup!G6)</f>
        <v>D</v>
      </c>
      <c r="G28" s="474" t="str">
        <f>IF(Setup!H6="","",Setup!H6)</f>
        <v>a</v>
      </c>
      <c r="H28" s="476"/>
      <c r="I28" s="476"/>
      <c r="J28" s="490">
        <v>2</v>
      </c>
      <c r="K28" s="491" t="str">
        <f ca="1">D11</f>
        <v>b-Team 2</v>
      </c>
      <c r="L28" s="491"/>
      <c r="M28" s="491"/>
      <c r="N28" s="491"/>
      <c r="O28" s="491"/>
      <c r="P28" s="491"/>
      <c r="Q28" s="488" t="s">
        <v>286</v>
      </c>
      <c r="R28" s="488"/>
      <c r="S28" s="488"/>
      <c r="T28" s="488"/>
      <c r="U28" s="488"/>
      <c r="V28" s="488"/>
      <c r="W28" s="488"/>
      <c r="X28" s="488"/>
      <c r="Y28" s="451" t="s">
        <v>285</v>
      </c>
      <c r="Z28" s="451"/>
      <c r="AA28" s="451"/>
      <c r="AB28" s="451"/>
      <c r="AC28" s="451"/>
      <c r="AD28" s="451"/>
      <c r="AE28" s="257"/>
    </row>
    <row r="29" spans="1:39" ht="8.25" customHeight="1" thickBot="1">
      <c r="A29" s="388"/>
      <c r="B29" s="237"/>
      <c r="C29" s="473"/>
      <c r="D29" s="473"/>
      <c r="E29" s="287"/>
      <c r="F29" s="474"/>
      <c r="G29" s="474"/>
      <c r="H29" s="476"/>
      <c r="I29" s="476"/>
      <c r="J29" s="490"/>
      <c r="K29" s="491"/>
      <c r="L29" s="491"/>
      <c r="M29" s="491"/>
      <c r="N29" s="491"/>
      <c r="O29" s="491"/>
      <c r="P29" s="491"/>
      <c r="Q29" s="488"/>
      <c r="R29" s="488"/>
      <c r="S29" s="488"/>
      <c r="T29" s="488"/>
      <c r="U29" s="488"/>
      <c r="V29" s="488"/>
      <c r="W29" s="488"/>
      <c r="X29" s="488"/>
      <c r="Y29" s="451"/>
      <c r="Z29" s="451"/>
      <c r="AA29" s="451"/>
      <c r="AB29" s="451"/>
      <c r="AC29" s="451"/>
      <c r="AD29" s="451"/>
      <c r="AE29" s="257"/>
    </row>
    <row r="30" spans="1:39" ht="8.25" customHeight="1" thickBot="1">
      <c r="A30" s="389"/>
      <c r="B30" s="238"/>
      <c r="C30" s="473"/>
      <c r="D30" s="473"/>
      <c r="E30" s="287"/>
      <c r="F30" s="474"/>
      <c r="G30" s="474"/>
      <c r="H30" s="476"/>
      <c r="I30" s="476"/>
      <c r="J30" s="490"/>
      <c r="K30" s="491"/>
      <c r="L30" s="491"/>
      <c r="M30" s="491"/>
      <c r="N30" s="491"/>
      <c r="O30" s="491"/>
      <c r="P30" s="491"/>
      <c r="Q30" s="488"/>
      <c r="R30" s="488"/>
      <c r="S30" s="488"/>
      <c r="T30" s="488"/>
      <c r="U30" s="488"/>
      <c r="V30" s="488"/>
      <c r="W30" s="488"/>
      <c r="X30" s="488"/>
      <c r="Y30" s="451"/>
      <c r="Z30" s="451"/>
      <c r="AA30" s="451"/>
      <c r="AB30" s="451"/>
      <c r="AC30" s="451"/>
      <c r="AD30" s="451"/>
      <c r="AE30" s="257"/>
    </row>
    <row r="31" spans="1:39" ht="8.25" customHeight="1" thickBot="1">
      <c r="A31" s="387" t="s">
        <v>320</v>
      </c>
      <c r="B31" s="237"/>
      <c r="C31" s="473" t="str">
        <f>IF(Setup!E7="","",Setup!E7)</f>
        <v>5004</v>
      </c>
      <c r="D31" s="473"/>
      <c r="E31" s="287"/>
      <c r="F31" s="474" t="str">
        <f>IF(Setup!G7="","",Setup!G7)</f>
        <v>D</v>
      </c>
      <c r="G31" s="474" t="str">
        <f>IF(Setup!H7="","",Setup!H7)</f>
        <v>b</v>
      </c>
      <c r="H31" s="476"/>
      <c r="I31" s="476"/>
      <c r="J31" s="489" t="s">
        <v>3</v>
      </c>
      <c r="K31" s="438" t="s">
        <v>282</v>
      </c>
      <c r="L31" s="438"/>
      <c r="M31" s="438"/>
      <c r="N31" s="438"/>
      <c r="O31" s="438"/>
      <c r="P31" s="213" t="s">
        <v>281</v>
      </c>
      <c r="Q31" s="368" t="s">
        <v>6</v>
      </c>
      <c r="R31" s="443" t="s">
        <v>7</v>
      </c>
      <c r="S31" s="443" t="s">
        <v>8</v>
      </c>
      <c r="T31" s="442" t="s">
        <v>9</v>
      </c>
      <c r="U31" s="368" t="s">
        <v>6</v>
      </c>
      <c r="V31" s="443" t="s">
        <v>7</v>
      </c>
      <c r="W31" s="443" t="s">
        <v>8</v>
      </c>
      <c r="X31" s="442" t="s">
        <v>9</v>
      </c>
      <c r="Y31" s="368" t="s">
        <v>6</v>
      </c>
      <c r="Z31" s="495" t="s">
        <v>3</v>
      </c>
      <c r="AA31" s="289"/>
      <c r="AB31" s="492" t="s">
        <v>135</v>
      </c>
      <c r="AC31" s="218" t="s">
        <v>284</v>
      </c>
      <c r="AD31" s="213"/>
      <c r="AE31" s="487" t="s">
        <v>11</v>
      </c>
      <c r="AF31" s="117"/>
    </row>
    <row r="32" spans="1:39" ht="8.25" customHeight="1" thickBot="1">
      <c r="A32" s="388"/>
      <c r="B32" s="237"/>
      <c r="C32" s="473"/>
      <c r="D32" s="473"/>
      <c r="E32" s="287"/>
      <c r="F32" s="474"/>
      <c r="G32" s="474"/>
      <c r="H32" s="476"/>
      <c r="I32" s="476"/>
      <c r="J32" s="489"/>
      <c r="K32" s="438"/>
      <c r="L32" s="438"/>
      <c r="M32" s="438"/>
      <c r="N32" s="438"/>
      <c r="O32" s="438"/>
      <c r="P32" s="213" t="s">
        <v>280</v>
      </c>
      <c r="Q32" s="368" t="s">
        <v>13</v>
      </c>
      <c r="R32" s="443"/>
      <c r="S32" s="443"/>
      <c r="T32" s="442"/>
      <c r="U32" s="368" t="s">
        <v>13</v>
      </c>
      <c r="V32" s="443"/>
      <c r="W32" s="443"/>
      <c r="X32" s="442"/>
      <c r="Y32" s="368" t="s">
        <v>13</v>
      </c>
      <c r="Z32" s="495"/>
      <c r="AA32" s="217" t="s">
        <v>14</v>
      </c>
      <c r="AB32" s="493"/>
      <c r="AC32" s="218" t="s">
        <v>283</v>
      </c>
      <c r="AD32" s="213" t="s">
        <v>265</v>
      </c>
      <c r="AE32" s="487"/>
      <c r="AF32" s="117"/>
    </row>
    <row r="33" spans="1:32" ht="8.25" customHeight="1">
      <c r="A33" s="389"/>
      <c r="B33" s="238"/>
      <c r="C33" s="473"/>
      <c r="D33" s="473"/>
      <c r="E33" s="287"/>
      <c r="F33" s="474"/>
      <c r="G33" s="474"/>
      <c r="H33" s="476"/>
      <c r="I33" s="476"/>
      <c r="J33" s="489"/>
      <c r="K33" s="438"/>
      <c r="L33" s="438"/>
      <c r="M33" s="438"/>
      <c r="N33" s="438"/>
      <c r="O33" s="438"/>
      <c r="P33" s="220" t="s">
        <v>17</v>
      </c>
      <c r="Q33" s="369"/>
      <c r="R33" s="443"/>
      <c r="S33" s="443"/>
      <c r="T33" s="442"/>
      <c r="U33" s="369"/>
      <c r="V33" s="443"/>
      <c r="W33" s="443"/>
      <c r="X33" s="442"/>
      <c r="Y33" s="369"/>
      <c r="Z33" s="495"/>
      <c r="AA33" s="265"/>
      <c r="AB33" s="494"/>
      <c r="AC33" s="221"/>
      <c r="AD33" s="222"/>
      <c r="AE33" s="487"/>
      <c r="AF33" s="117"/>
    </row>
    <row r="34" spans="1:32" ht="12" customHeight="1">
      <c r="A34" s="392" t="s">
        <v>66</v>
      </c>
      <c r="B34" s="236"/>
      <c r="C34" s="473" t="str">
        <f>IF(Setup!E8="","",Setup!E8)</f>
        <v>5005</v>
      </c>
      <c r="D34" s="473"/>
      <c r="E34" s="287"/>
      <c r="F34" s="474" t="str">
        <f>IF(Setup!G8="","",Setup!G8)</f>
        <v>E</v>
      </c>
      <c r="G34" s="475" t="str">
        <f>IF(Setup!H8="","",Setup!H8)</f>
        <v>a</v>
      </c>
      <c r="H34" s="476"/>
      <c r="I34" s="476"/>
      <c r="J34" s="373">
        <f ca="1">IF(INDIRECT($AK$1&amp;"!a8")="","",INDIRECT($AK$1&amp;"!a8"))</f>
        <v>1</v>
      </c>
      <c r="K34" s="266" t="s">
        <v>20</v>
      </c>
      <c r="L34" s="402" t="str">
        <f ca="1">IF(J34="","",CONCATENATE(IF(INDIRECT($AK$1&amp;"!c8")="","",INDIRECT($AK$1&amp;"!c8")),", ",IF(INDIRECT($AK$1&amp;"!d8")="","",INDIRECT($AK$1&amp;"!d8"))))</f>
        <v>B, a</v>
      </c>
      <c r="M34" s="403" t="str">
        <f t="shared" ref="M34:O34" ca="1" si="6">IF(INDIRECT($AJ$1&amp;"!A7")="","",INDIRECT($AJ$1&amp;"!A7"))</f>
        <v>Trikotnummer</v>
      </c>
      <c r="N34" s="403" t="str">
        <f t="shared" ca="1" si="6"/>
        <v>Trikotnummer</v>
      </c>
      <c r="O34" s="404" t="str">
        <f t="shared" ca="1" si="6"/>
        <v>Trikotnummer</v>
      </c>
      <c r="P34" s="267">
        <f ca="1">IF(INDIRECT($AK$1&amp;"!e8")="","",INDIRECT($AK$1&amp;"!e8"))</f>
        <v>2001</v>
      </c>
      <c r="Q34" s="268"/>
      <c r="R34" s="269"/>
      <c r="S34" s="269"/>
      <c r="T34" s="374" t="str">
        <f>IF(TRIM(Q34)="","",1)</f>
        <v/>
      </c>
      <c r="U34" s="268"/>
      <c r="V34" s="269"/>
      <c r="W34" s="269"/>
      <c r="X34" s="374" t="str">
        <f>IF(TRIM(U34)="","",T54+1)</f>
        <v/>
      </c>
      <c r="Y34" s="268"/>
      <c r="Z34" s="269"/>
      <c r="AA34" s="270"/>
      <c r="AB34" s="271">
        <f>IF(AA34="",0,VLOOKUP(AA34,Daten!$B$2:$C$11,2,FALSE))</f>
        <v>0</v>
      </c>
      <c r="AC34" s="272"/>
      <c r="AD34" s="273"/>
      <c r="AE34" s="223">
        <v>1</v>
      </c>
      <c r="AF34" s="16"/>
    </row>
    <row r="35" spans="1:32" ht="12" customHeight="1">
      <c r="A35" s="388"/>
      <c r="B35" s="237"/>
      <c r="C35" s="473"/>
      <c r="D35" s="473"/>
      <c r="E35" s="287"/>
      <c r="F35" s="474"/>
      <c r="G35" s="475"/>
      <c r="H35" s="476"/>
      <c r="I35" s="476"/>
      <c r="J35" s="373">
        <f ca="1">IF(INDIRECT($AK$1&amp;"!a9")="","",INDIRECT($AK$1&amp;"!a9"))</f>
        <v>2</v>
      </c>
      <c r="K35" s="266" t="s">
        <v>8</v>
      </c>
      <c r="L35" s="402" t="str">
        <f ca="1">IF(J35="","",CONCATENATE(IF(INDIRECT($AK$1&amp;"!c9")="","",INDIRECT($AK$1&amp;"!c9")),", ",IF(INDIRECT($AK$1&amp;"!d9")="","",INDIRECT($AK$1&amp;"!d9"))))</f>
        <v>B, b</v>
      </c>
      <c r="M35" s="403" t="str">
        <f ca="1">IF(INDIRECT($AJ$1&amp;"!A7")="","",INDIRECT($AJ$1&amp;"!A7"))</f>
        <v>Trikotnummer</v>
      </c>
      <c r="N35" s="403" t="str">
        <f ca="1">IF(INDIRECT($AJ$1&amp;"!A7")="","",INDIRECT($AJ$1&amp;"!A7"))</f>
        <v>Trikotnummer</v>
      </c>
      <c r="O35" s="404" t="str">
        <f ca="1">IF(INDIRECT($AJ$1&amp;"!A7")="","",INDIRECT($AJ$1&amp;"!A7"))</f>
        <v>Trikotnummer</v>
      </c>
      <c r="P35" s="267">
        <f ca="1">IF(INDIRECT($AK$1&amp;"!e9")="","",INDIRECT($AK$1&amp;"!e9"))</f>
        <v>2002</v>
      </c>
      <c r="Q35" s="268"/>
      <c r="R35" s="269"/>
      <c r="S35" s="269"/>
      <c r="T35" s="374" t="str">
        <f>IF(TRIM(Q35)="","",T34+1)</f>
        <v/>
      </c>
      <c r="U35" s="268"/>
      <c r="V35" s="269"/>
      <c r="W35" s="269"/>
      <c r="X35" s="374" t="str">
        <f t="shared" ref="X35:X52" si="7">IF(TRIM(U35)="","",X34+1)</f>
        <v/>
      </c>
      <c r="Y35" s="268"/>
      <c r="Z35" s="269"/>
      <c r="AA35" s="276"/>
      <c r="AB35" s="271">
        <f>IF(AA35="",0,VLOOKUP(AA35,Daten!$B$2:$C$11,2,FALSE))</f>
        <v>0</v>
      </c>
      <c r="AC35" s="272"/>
      <c r="AD35" s="273"/>
      <c r="AE35" s="223">
        <v>2</v>
      </c>
      <c r="AF35" s="16"/>
    </row>
    <row r="36" spans="1:32" ht="12" customHeight="1" thickBot="1">
      <c r="A36" s="819" t="s">
        <v>345</v>
      </c>
      <c r="B36" s="477"/>
      <c r="C36" s="477"/>
      <c r="D36" s="477"/>
      <c r="E36" s="477"/>
      <c r="F36" s="477"/>
      <c r="G36" s="477"/>
      <c r="H36" s="477"/>
      <c r="I36" s="820"/>
      <c r="J36" s="373">
        <f ca="1">IF(INDIRECT($AK$1&amp;"!a10")="","",INDIRECT($AK$1&amp;"!a10"))</f>
        <v>3</v>
      </c>
      <c r="K36" s="266" t="s">
        <v>7</v>
      </c>
      <c r="L36" s="277" t="str">
        <f ca="1">IF(J36="","",CONCATENATE(IF(INDIRECT($AK$1&amp;"!c10")="","",INDIRECT($AK$1&amp;"!c10")),", ",IF(INDIRECT($AK$1&amp;"!d10")="","",INDIRECT($AK$1&amp;"!d10"))))</f>
        <v>B, c</v>
      </c>
      <c r="M36" s="325"/>
      <c r="N36" s="325"/>
      <c r="O36" s="326"/>
      <c r="P36" s="267">
        <f ca="1">IF(INDIRECT($AK$1&amp;"!e10")="","",INDIRECT($AK$1&amp;"!e10"))</f>
        <v>2003</v>
      </c>
      <c r="Q36" s="268"/>
      <c r="R36" s="269"/>
      <c r="S36" s="269"/>
      <c r="T36" s="374" t="str">
        <f t="shared" ref="T36:T51" si="8">IF(TRIM(Q36)="","",T35+1)</f>
        <v/>
      </c>
      <c r="U36" s="268"/>
      <c r="V36" s="269"/>
      <c r="W36" s="269"/>
      <c r="X36" s="374" t="str">
        <f t="shared" si="7"/>
        <v/>
      </c>
      <c r="Y36" s="268"/>
      <c r="Z36" s="269"/>
      <c r="AA36" s="276"/>
      <c r="AB36" s="271">
        <f>IF(AA36="",0,VLOOKUP(AA36,Daten!$B$2:$C$11,2,FALSE))</f>
        <v>0</v>
      </c>
      <c r="AC36" s="272"/>
      <c r="AD36" s="273"/>
      <c r="AE36" s="223">
        <v>3</v>
      </c>
      <c r="AF36" s="16"/>
    </row>
    <row r="37" spans="1:32" ht="12" customHeight="1" thickBot="1">
      <c r="A37" s="481" t="s">
        <v>288</v>
      </c>
      <c r="B37" s="482"/>
      <c r="C37" s="482"/>
      <c r="D37" s="482"/>
      <c r="E37" s="482"/>
      <c r="F37" s="483"/>
      <c r="G37" s="478" t="s">
        <v>70</v>
      </c>
      <c r="H37" s="478"/>
      <c r="I37" s="478"/>
      <c r="J37" s="373">
        <f ca="1">IF(INDIRECT($AK$1&amp;"!a11")="","",INDIRECT($AK$1&amp;"!a11"))</f>
        <v>4</v>
      </c>
      <c r="K37" s="266" t="s">
        <v>7</v>
      </c>
      <c r="L37" s="277" t="str">
        <f ca="1">IF(J37="","",CONCATENATE(IF(INDIRECT($AK$1&amp;"!c11")="","",INDIRECT($AK$1&amp;"!c11")),", ",IF(INDIRECT($AK$1&amp;"!d11")="","",INDIRECT($AK$1&amp;"!d11"))))</f>
        <v>B, d</v>
      </c>
      <c r="M37" s="325"/>
      <c r="N37" s="325"/>
      <c r="O37" s="326"/>
      <c r="P37" s="267">
        <f ca="1">IF(INDIRECT($AK$1&amp;"!e11")="","",INDIRECT($AK$1&amp;"!e11"))</f>
        <v>2004</v>
      </c>
      <c r="Q37" s="268"/>
      <c r="R37" s="269"/>
      <c r="S37" s="269"/>
      <c r="T37" s="374" t="str">
        <f t="shared" si="8"/>
        <v/>
      </c>
      <c r="U37" s="268"/>
      <c r="V37" s="269"/>
      <c r="W37" s="269"/>
      <c r="X37" s="374" t="str">
        <f t="shared" si="7"/>
        <v/>
      </c>
      <c r="Y37" s="268"/>
      <c r="Z37" s="269"/>
      <c r="AA37" s="276"/>
      <c r="AB37" s="271">
        <f>IF(AA37="",0,VLOOKUP(AA37,Daten!$B$2:$C$11,2,FALSE))</f>
        <v>0</v>
      </c>
      <c r="AC37" s="272"/>
      <c r="AD37" s="273"/>
      <c r="AE37" s="223">
        <v>4</v>
      </c>
      <c r="AF37" s="16"/>
    </row>
    <row r="38" spans="1:32" ht="12" customHeight="1" thickBot="1">
      <c r="A38" s="484" t="s">
        <v>287</v>
      </c>
      <c r="B38" s="485"/>
      <c r="C38" s="485"/>
      <c r="D38" s="485"/>
      <c r="E38" s="485"/>
      <c r="F38" s="486"/>
      <c r="G38" s="478"/>
      <c r="H38" s="478"/>
      <c r="I38" s="478"/>
      <c r="J38" s="373">
        <f ca="1">IF(INDIRECT($AK$1&amp;"!a12")="","",INDIRECT($AK$1&amp;"!a12"))</f>
        <v>5</v>
      </c>
      <c r="K38" s="266" t="s">
        <v>25</v>
      </c>
      <c r="L38" s="402" t="str">
        <f ca="1">IF(J38="","",CONCATENATE(IF(INDIRECT($AK$1&amp;"!c12")="","",INDIRECT($AK$1&amp;"!c12")),", ",IF(INDIRECT($AK$1&amp;"!d12")="","",INDIRECT($AK$1&amp;"!d12"))))</f>
        <v>B, e</v>
      </c>
      <c r="M38" s="403" t="str">
        <f t="shared" ref="M38:O41" ca="1" si="9">IF(INDIRECT($AJ$1&amp;"!A7")="","",INDIRECT($AJ$1&amp;"!A7"))</f>
        <v>Trikotnummer</v>
      </c>
      <c r="N38" s="403" t="str">
        <f t="shared" ca="1" si="9"/>
        <v>Trikotnummer</v>
      </c>
      <c r="O38" s="404" t="str">
        <f t="shared" ca="1" si="9"/>
        <v>Trikotnummer</v>
      </c>
      <c r="P38" s="267">
        <f ca="1">IF(INDIRECT($AK$1&amp;"!e12")="","",INDIRECT($AK$1&amp;"!e12"))</f>
        <v>2005</v>
      </c>
      <c r="Q38" s="268"/>
      <c r="R38" s="269"/>
      <c r="S38" s="269"/>
      <c r="T38" s="374" t="str">
        <f t="shared" si="8"/>
        <v/>
      </c>
      <c r="U38" s="268"/>
      <c r="V38" s="269"/>
      <c r="W38" s="269"/>
      <c r="X38" s="374" t="str">
        <f t="shared" si="7"/>
        <v/>
      </c>
      <c r="Y38" s="268"/>
      <c r="Z38" s="269"/>
      <c r="AA38" s="276"/>
      <c r="AB38" s="271">
        <f>IF(AA38="",0,VLOOKUP(AA38,Daten!$B$2:$C$11,2,FALSE))</f>
        <v>0</v>
      </c>
      <c r="AC38" s="272"/>
      <c r="AD38" s="273"/>
      <c r="AE38" s="223">
        <v>5</v>
      </c>
      <c r="AF38" s="16"/>
    </row>
    <row r="39" spans="1:32" ht="12" customHeight="1">
      <c r="A39" s="292"/>
      <c r="B39" s="293"/>
      <c r="C39" s="479" t="s">
        <v>24</v>
      </c>
      <c r="D39" s="479"/>
      <c r="E39" s="294"/>
      <c r="F39" s="371" t="s">
        <v>26</v>
      </c>
      <c r="G39" s="295" t="s">
        <v>24</v>
      </c>
      <c r="H39" s="480" t="s">
        <v>26</v>
      </c>
      <c r="I39" s="480"/>
      <c r="J39" s="373">
        <f ca="1">IF(INDIRECT($AK$1&amp;"!a13")="","",INDIRECT($AK$1&amp;"!a13"))</f>
        <v>6</v>
      </c>
      <c r="K39" s="266" t="s">
        <v>25</v>
      </c>
      <c r="L39" s="402" t="str">
        <f ca="1">IF(J39="","",CONCATENATE(IF(INDIRECT($AK$1&amp;"!c13")="","",INDIRECT($AK$1&amp;"!c13")),", ",IF(INDIRECT($AK$1&amp;"!d13")="","",INDIRECT($AK$1&amp;"!d13"))))</f>
        <v>B, f</v>
      </c>
      <c r="M39" s="403" t="str">
        <f t="shared" ca="1" si="9"/>
        <v>Trikotnummer</v>
      </c>
      <c r="N39" s="403" t="str">
        <f t="shared" ca="1" si="9"/>
        <v>Trikotnummer</v>
      </c>
      <c r="O39" s="404" t="str">
        <f t="shared" ca="1" si="9"/>
        <v>Trikotnummer</v>
      </c>
      <c r="P39" s="267">
        <f ca="1">IF(INDIRECT($AK$1&amp;"!e13")="","",INDIRECT($AK$1&amp;"!e13"))</f>
        <v>2006</v>
      </c>
      <c r="Q39" s="268"/>
      <c r="R39" s="269"/>
      <c r="S39" s="269"/>
      <c r="T39" s="374" t="str">
        <f t="shared" si="8"/>
        <v/>
      </c>
      <c r="U39" s="268"/>
      <c r="V39" s="269"/>
      <c r="W39" s="269"/>
      <c r="X39" s="374" t="str">
        <f t="shared" si="7"/>
        <v/>
      </c>
      <c r="Y39" s="268"/>
      <c r="Z39" s="269"/>
      <c r="AA39" s="276"/>
      <c r="AB39" s="271">
        <f>IF(AA39="",0,VLOOKUP(AA39,Daten!$B$2:$C$11,2,FALSE))</f>
        <v>0</v>
      </c>
      <c r="AC39" s="272"/>
      <c r="AD39" s="273"/>
      <c r="AE39" s="223">
        <v>6</v>
      </c>
      <c r="AF39" s="16"/>
    </row>
    <row r="40" spans="1:32" ht="12" customHeight="1">
      <c r="A40" s="241" t="s">
        <v>296</v>
      </c>
      <c r="B40" s="407">
        <f>SUM(COUNTIF($Q$5:$Q$26,"&lt;="&amp;$AK$2),COUNTIF($U$5:$U$24,"&lt;="&amp;$AK$2))</f>
        <v>0</v>
      </c>
      <c r="C40" s="406">
        <f>IF($AK$6&gt;=1,$B40,"")</f>
        <v>0</v>
      </c>
      <c r="D40" s="406"/>
      <c r="E40" s="470">
        <f>SUM(COUNTIF($Q$34:$Q$55,"&lt;="&amp;$AK$2),COUNTIF($U$34:$U$53,"&lt;="&amp;$AK$2))</f>
        <v>0</v>
      </c>
      <c r="F40" s="401">
        <f>IF($AK$6&gt;=1,$E40,"")</f>
        <v>0</v>
      </c>
      <c r="G40" s="468">
        <f>SUM($C$40:$D$49)</f>
        <v>0</v>
      </c>
      <c r="H40" s="469">
        <f>SUM($F$40:$F$49)</f>
        <v>0</v>
      </c>
      <c r="I40" s="469">
        <f>SUM($F$40:$F$49)</f>
        <v>0</v>
      </c>
      <c r="J40" s="373">
        <f ca="1">IF(INDIRECT($AK$1&amp;"!a14")="","",INDIRECT($AK$1&amp;"!a14"))</f>
        <v>7</v>
      </c>
      <c r="K40" s="266" t="s">
        <v>25</v>
      </c>
      <c r="L40" s="402" t="str">
        <f ca="1">IF(J40="","",CONCATENATE(IF(INDIRECT($AK$1&amp;"!c14")="","",INDIRECT($AK$1&amp;"!c14")),", ",IF(INDIRECT($AK$1&amp;"!d14")="","",INDIRECT($AK$1&amp;"!d14"))))</f>
        <v>B, g</v>
      </c>
      <c r="M40" s="403" t="str">
        <f t="shared" ca="1" si="9"/>
        <v>Trikotnummer</v>
      </c>
      <c r="N40" s="403" t="str">
        <f t="shared" ca="1" si="9"/>
        <v>Trikotnummer</v>
      </c>
      <c r="O40" s="404" t="str">
        <f t="shared" ca="1" si="9"/>
        <v>Trikotnummer</v>
      </c>
      <c r="P40" s="267">
        <f ca="1">IF(INDIRECT($AK$1&amp;"!e14")="","",INDIRECT($AK$1&amp;"!e14"))</f>
        <v>2007</v>
      </c>
      <c r="Q40" s="268"/>
      <c r="R40" s="269"/>
      <c r="S40" s="269"/>
      <c r="T40" s="374" t="str">
        <f t="shared" si="8"/>
        <v/>
      </c>
      <c r="U40" s="268"/>
      <c r="V40" s="269"/>
      <c r="W40" s="269"/>
      <c r="X40" s="374" t="str">
        <f t="shared" si="7"/>
        <v/>
      </c>
      <c r="Y40" s="268"/>
      <c r="Z40" s="269"/>
      <c r="AA40" s="276"/>
      <c r="AB40" s="271">
        <f>IF(AA40="",0,VLOOKUP(AA40,Daten!$B$2:$C$11,2,FALSE))</f>
        <v>0</v>
      </c>
      <c r="AC40" s="272"/>
      <c r="AD40" s="273"/>
      <c r="AE40" s="223">
        <v>7</v>
      </c>
      <c r="AF40" s="16"/>
    </row>
    <row r="41" spans="1:32" ht="12" customHeight="1" thickBot="1">
      <c r="A41" s="242" t="s">
        <v>297</v>
      </c>
      <c r="B41" s="408"/>
      <c r="C41" s="406"/>
      <c r="D41" s="406"/>
      <c r="E41" s="471"/>
      <c r="F41" s="401"/>
      <c r="G41" s="468">
        <f>SUM($C$40:$D$49)</f>
        <v>0</v>
      </c>
      <c r="H41" s="469">
        <f>SUM($F$40:$F$49)</f>
        <v>0</v>
      </c>
      <c r="I41" s="469">
        <f>SUM($F$40:$F$49)</f>
        <v>0</v>
      </c>
      <c r="J41" s="373">
        <f ca="1">IF(INDIRECT($AK$1&amp;"!a15")="","",INDIRECT($AK$1&amp;"!a15"))</f>
        <v>8</v>
      </c>
      <c r="K41" s="266" t="s">
        <v>25</v>
      </c>
      <c r="L41" s="402" t="str">
        <f ca="1">IF(J41="","",CONCATENATE(IF(INDIRECT($AK$1&amp;"!c15")="","",INDIRECT($AK$1&amp;"!c15")),", ",IF(INDIRECT($AK$1&amp;"!d15")="","",INDIRECT($AK$1&amp;"!d15"))))</f>
        <v>B, h</v>
      </c>
      <c r="M41" s="403" t="str">
        <f t="shared" ca="1" si="9"/>
        <v>Trikotnummer</v>
      </c>
      <c r="N41" s="403" t="str">
        <f t="shared" ca="1" si="9"/>
        <v>Trikotnummer</v>
      </c>
      <c r="O41" s="404" t="str">
        <f t="shared" ca="1" si="9"/>
        <v>Trikotnummer</v>
      </c>
      <c r="P41" s="267">
        <f ca="1">IF(INDIRECT($AK$1&amp;"!e15")="","",INDIRECT($AK$1&amp;"!e15"))</f>
        <v>2008</v>
      </c>
      <c r="Q41" s="268"/>
      <c r="R41" s="269"/>
      <c r="S41" s="269"/>
      <c r="T41" s="374" t="str">
        <f t="shared" si="8"/>
        <v/>
      </c>
      <c r="U41" s="268"/>
      <c r="V41" s="269"/>
      <c r="W41" s="269"/>
      <c r="X41" s="374" t="str">
        <f t="shared" si="7"/>
        <v/>
      </c>
      <c r="Y41" s="268"/>
      <c r="Z41" s="269"/>
      <c r="AA41" s="276"/>
      <c r="AB41" s="271">
        <f>IF(AA41="",0,VLOOKUP(AA41,Daten!$B$2:$C$11,2,FALSE))</f>
        <v>0</v>
      </c>
      <c r="AC41" s="272"/>
      <c r="AD41" s="273"/>
      <c r="AE41" s="223">
        <v>8</v>
      </c>
      <c r="AF41" s="16"/>
    </row>
    <row r="42" spans="1:32" ht="12" customHeight="1">
      <c r="A42" s="241" t="s">
        <v>298</v>
      </c>
      <c r="B42" s="407">
        <f>SUM(COUNTIF($Q$5:$Q$26,"&lt;="&amp;$AK$3),COUNTIF($U$5:$U$24,"&lt;="&amp;$AK$3))-B40</f>
        <v>0</v>
      </c>
      <c r="C42" s="406">
        <f>IF($AK$6&gt;=2,$B42,"")</f>
        <v>0</v>
      </c>
      <c r="D42" s="406"/>
      <c r="E42" s="470">
        <f>SUM(COUNTIF($Q$34:$Q$55,"&lt;="&amp;$AK$3),COUNTIF($U$34:$U$53,"&lt;="&amp;$AK$3))-E40</f>
        <v>0</v>
      </c>
      <c r="F42" s="406">
        <f>IF($AK$6&gt;=2,$E42,"")</f>
        <v>0</v>
      </c>
      <c r="G42" s="463" t="s">
        <v>289</v>
      </c>
      <c r="H42" s="464"/>
      <c r="I42" s="464"/>
      <c r="J42" s="373">
        <f ca="1">IF(INDIRECT($AK$1&amp;"!a16")="","",INDIRECT($AK$1&amp;"!a16"))</f>
        <v>9</v>
      </c>
      <c r="K42" s="266" t="s">
        <v>25</v>
      </c>
      <c r="L42" s="402" t="str">
        <f ca="1">IF(J42="","",CONCATENATE(IF(INDIRECT($AK$1&amp;"!c16")="","",INDIRECT($AK$1&amp;"!c16")),", ",IF(INDIRECT($AK$1&amp;"!d16")="","",INDIRECT($AK$1&amp;"!d16"))))</f>
        <v>B, i</v>
      </c>
      <c r="M42" s="403"/>
      <c r="N42" s="403"/>
      <c r="O42" s="404"/>
      <c r="P42" s="267">
        <f ca="1">IF(INDIRECT($AK$1&amp;"!e16")="","",INDIRECT($AK$1&amp;"!e16"))</f>
        <v>2009</v>
      </c>
      <c r="Q42" s="268"/>
      <c r="R42" s="269"/>
      <c r="S42" s="269"/>
      <c r="T42" s="374" t="str">
        <f t="shared" si="8"/>
        <v/>
      </c>
      <c r="U42" s="268"/>
      <c r="V42" s="269"/>
      <c r="W42" s="269"/>
      <c r="X42" s="374" t="str">
        <f t="shared" si="7"/>
        <v/>
      </c>
      <c r="Y42" s="268"/>
      <c r="Z42" s="269"/>
      <c r="AA42" s="276"/>
      <c r="AB42" s="271">
        <f>IF(AA42="",0,VLOOKUP(AA42,Daten!$B$2:$C$11,2,FALSE))</f>
        <v>0</v>
      </c>
      <c r="AC42" s="272"/>
      <c r="AD42" s="273"/>
      <c r="AE42" s="223">
        <v>9</v>
      </c>
      <c r="AF42" s="16"/>
    </row>
    <row r="43" spans="1:32" ht="12" customHeight="1" thickBot="1">
      <c r="A43" s="242" t="s">
        <v>295</v>
      </c>
      <c r="B43" s="408"/>
      <c r="C43" s="406"/>
      <c r="D43" s="406"/>
      <c r="E43" s="471"/>
      <c r="F43" s="406"/>
      <c r="G43" s="465" t="str">
        <f>IF($G$40=$H$40,"Unentschieden",IF($G$40&gt;$H$40,$D$9,IF($H$40&gt;$G$40,$D$11,"Fehler")))</f>
        <v>Unentschieden</v>
      </c>
      <c r="H43" s="466" t="str">
        <f>IF($G$40=$H$40,"Unentschieden",IF($G$40&gt;$H$40,$D$9,IF($H$40&gt;$G$40,$D$11,"Fehler")))</f>
        <v>Unentschieden</v>
      </c>
      <c r="I43" s="467" t="str">
        <f>IF($G$40=$H$40,"Unentschieden",IF($G$40&gt;$H$40,$D$9,IF($H$40&gt;$G$40,$D$11,"Fehler")))</f>
        <v>Unentschieden</v>
      </c>
      <c r="J43" s="373">
        <f ca="1">IF(INDIRECT($AK$1&amp;"!a17")="","",INDIRECT($AK$1&amp;"!a17"))</f>
        <v>10</v>
      </c>
      <c r="K43" s="266" t="s">
        <v>25</v>
      </c>
      <c r="L43" s="402" t="str">
        <f ca="1">IF(J43="","",CONCATENATE(IF(INDIRECT($AK$1&amp;"!c17")="","",INDIRECT($AK$1&amp;"!c17")),", ",IF(INDIRECT($AK$1&amp;"!d17")="","",INDIRECT($AK$1&amp;"!d17"))))</f>
        <v>B, j</v>
      </c>
      <c r="M43" s="403"/>
      <c r="N43" s="403"/>
      <c r="O43" s="404"/>
      <c r="P43" s="267">
        <f ca="1">IF(INDIRECT($AK$1&amp;"!e17")="","",INDIRECT($AK$1&amp;"!e17"))</f>
        <v>2010</v>
      </c>
      <c r="Q43" s="268"/>
      <c r="R43" s="269"/>
      <c r="S43" s="269"/>
      <c r="T43" s="374" t="str">
        <f t="shared" si="8"/>
        <v/>
      </c>
      <c r="U43" s="268"/>
      <c r="V43" s="269"/>
      <c r="W43" s="269"/>
      <c r="X43" s="374" t="str">
        <f t="shared" si="7"/>
        <v/>
      </c>
      <c r="Y43" s="268"/>
      <c r="Z43" s="269"/>
      <c r="AA43" s="276"/>
      <c r="AB43" s="271">
        <f>IF(AA43="",0,VLOOKUP(AA43,Daten!$B$2:$C$11,2,FALSE))</f>
        <v>0</v>
      </c>
      <c r="AC43" s="272"/>
      <c r="AD43" s="273"/>
      <c r="AE43" s="223">
        <v>10</v>
      </c>
      <c r="AF43" s="16"/>
    </row>
    <row r="44" spans="1:32" ht="12" customHeight="1">
      <c r="A44" s="241" t="s">
        <v>294</v>
      </c>
      <c r="B44" s="407">
        <f>SUM(COUNTIF($Q$5:$Q$26,"&lt;="&amp;$AK$4),COUNTIF($U$5:$U$24,"&lt;="&amp;$AK$4))-SUM(B40:B43)</f>
        <v>0</v>
      </c>
      <c r="C44" s="406">
        <f>IF($AK$6&gt;=3,$B44,"")</f>
        <v>0</v>
      </c>
      <c r="D44" s="406"/>
      <c r="E44" s="470">
        <f>SUM(COUNTIF($Q$34:$Q$55,"&lt;="&amp;$AK$4),COUNTIF($U$34:$U$53,"&lt;="&amp;$AK$4))-SUM(E40:E43)</f>
        <v>0</v>
      </c>
      <c r="F44" s="401">
        <f>IF($AK$6&gt;=3,$E44,"")</f>
        <v>0</v>
      </c>
      <c r="G44" s="243" t="s">
        <v>77</v>
      </c>
      <c r="H44" s="244"/>
      <c r="I44" s="296"/>
      <c r="J44" s="373">
        <f ca="1">IF(INDIRECT($AK$1&amp;"!a18")="","",INDIRECT($AK$1&amp;"!a18"))</f>
        <v>11</v>
      </c>
      <c r="K44" s="266" t="s">
        <v>25</v>
      </c>
      <c r="L44" s="402" t="str">
        <f ca="1">IF(J44="","",CONCATENATE(IF(INDIRECT($AK$1&amp;"!c18")="","",INDIRECT($AK$1&amp;"!c18")),", ",IF(INDIRECT($AK$1&amp;"!d18")="","",INDIRECT($AK$1&amp;"!d18"))))</f>
        <v>B, k</v>
      </c>
      <c r="M44" s="403"/>
      <c r="N44" s="403"/>
      <c r="O44" s="404"/>
      <c r="P44" s="267">
        <f ca="1">IF(INDIRECT($AK$1&amp;"!e18")="","",INDIRECT($AK$1&amp;"!e18"))</f>
        <v>2011</v>
      </c>
      <c r="Q44" s="268"/>
      <c r="R44" s="269"/>
      <c r="S44" s="269"/>
      <c r="T44" s="374" t="str">
        <f t="shared" si="8"/>
        <v/>
      </c>
      <c r="U44" s="268"/>
      <c r="V44" s="269"/>
      <c r="W44" s="269"/>
      <c r="X44" s="374" t="str">
        <f t="shared" si="7"/>
        <v/>
      </c>
      <c r="Y44" s="268"/>
      <c r="Z44" s="269"/>
      <c r="AA44" s="276"/>
      <c r="AB44" s="271">
        <f>IF(AA44="",0,VLOOKUP(AA44,Daten!$B$2:$C$11,2,FALSE))</f>
        <v>0</v>
      </c>
      <c r="AC44" s="272"/>
      <c r="AD44" s="273"/>
      <c r="AE44" s="223">
        <v>11</v>
      </c>
      <c r="AF44" s="16"/>
    </row>
    <row r="45" spans="1:32" ht="12" customHeight="1" thickBot="1">
      <c r="A45" s="242" t="s">
        <v>293</v>
      </c>
      <c r="B45" s="408"/>
      <c r="C45" s="406"/>
      <c r="D45" s="406"/>
      <c r="E45" s="471"/>
      <c r="F45" s="401"/>
      <c r="G45" s="405"/>
      <c r="H45" s="405"/>
      <c r="I45" s="405"/>
      <c r="J45" s="373">
        <f ca="1">IF(INDIRECT($AK$1&amp;"!a19")="","",INDIRECT($AK$1&amp;"!a19"))</f>
        <v>12</v>
      </c>
      <c r="K45" s="266" t="s">
        <v>25</v>
      </c>
      <c r="L45" s="402" t="str">
        <f ca="1">IF(J45="","",CONCATENATE(IF(INDIRECT($AK$1&amp;"!c19")="","",INDIRECT($AK$1&amp;"!c19")),", ",IF(INDIRECT($AK$1&amp;"!d19")="","",INDIRECT($AK$1&amp;"!d19"))))</f>
        <v>B, l</v>
      </c>
      <c r="M45" s="403"/>
      <c r="N45" s="403"/>
      <c r="O45" s="404"/>
      <c r="P45" s="267">
        <f ca="1">IF(INDIRECT($AK$1&amp;"!e19")="","",INDIRECT($AK$1&amp;"!e19"))</f>
        <v>2012</v>
      </c>
      <c r="Q45" s="268"/>
      <c r="R45" s="269"/>
      <c r="S45" s="269"/>
      <c r="T45" s="374" t="str">
        <f t="shared" si="8"/>
        <v/>
      </c>
      <c r="U45" s="268"/>
      <c r="V45" s="269"/>
      <c r="W45" s="269"/>
      <c r="X45" s="374" t="str">
        <f t="shared" si="7"/>
        <v/>
      </c>
      <c r="Y45" s="268"/>
      <c r="Z45" s="269"/>
      <c r="AA45" s="276"/>
      <c r="AB45" s="271">
        <f>IF(AA45="",0,VLOOKUP(AA45,Daten!$B$2:$C$11,2,FALSE))</f>
        <v>0</v>
      </c>
      <c r="AC45" s="272"/>
      <c r="AD45" s="273"/>
      <c r="AE45" s="223">
        <v>12</v>
      </c>
      <c r="AF45" s="16"/>
    </row>
    <row r="46" spans="1:32" ht="12" customHeight="1" thickBot="1">
      <c r="A46" s="241" t="s">
        <v>101</v>
      </c>
      <c r="B46" s="407">
        <f>SUM(COUNTIF($Q$5:$Q$26,"&lt;="&amp;$AK$5),COUNTIF($U$5:$U$24,"&lt;="&amp;$AK$5))-SUM(B40:B45)</f>
        <v>0</v>
      </c>
      <c r="C46" s="406" t="str">
        <f>IF(OR(AND(AL9&gt;0,Setup!D14&gt;0),AND(NOT(AM19="0"),Setup!D14&gt;0)),$B46,"")</f>
        <v/>
      </c>
      <c r="D46" s="406"/>
      <c r="E46" s="470">
        <f>SUM(COUNTIF($Q$34:$Q$55,"&lt;="&amp;$AK$5),COUNTIF($U$34:$U$53,"&lt;="&amp;$AK$5))-SUM(E40:E45)</f>
        <v>0</v>
      </c>
      <c r="F46" s="401" t="str">
        <f>IF(OR(AND(AL9&gt;0,Setup!D14&gt;0),AND(NOT(AM19="0"),Setup!D14&gt;0)),E46,"")</f>
        <v/>
      </c>
      <c r="G46" s="405"/>
      <c r="H46" s="405"/>
      <c r="I46" s="405"/>
      <c r="J46" s="373">
        <f ca="1">IF(INDIRECT($AK$1&amp;"!a20")="","",INDIRECT($AK$1&amp;"!a20"))</f>
        <v>13</v>
      </c>
      <c r="K46" s="266" t="s">
        <v>25</v>
      </c>
      <c r="L46" s="402" t="str">
        <f ca="1">IF(J46="","",CONCATENATE(IF(INDIRECT($AK$1&amp;"!c20")="","",INDIRECT($AK$1&amp;"!c20")),", ",IF(INDIRECT($AK$1&amp;"!d20")="","",INDIRECT($AK$1&amp;"!d20"))))</f>
        <v>B, m</v>
      </c>
      <c r="M46" s="403" t="str">
        <f t="shared" ref="M46:O51" ca="1" si="10">IF(INDIRECT($AJ$1&amp;"!A7")="","",INDIRECT($AJ$1&amp;"!A7"))</f>
        <v>Trikotnummer</v>
      </c>
      <c r="N46" s="403" t="str">
        <f t="shared" ca="1" si="10"/>
        <v>Trikotnummer</v>
      </c>
      <c r="O46" s="404" t="str">
        <f t="shared" ca="1" si="10"/>
        <v>Trikotnummer</v>
      </c>
      <c r="P46" s="267">
        <f ca="1">IF(INDIRECT($AK$1&amp;"!e20")="","",INDIRECT($AK$1&amp;"!e20"))</f>
        <v>2013</v>
      </c>
      <c r="Q46" s="268"/>
      <c r="R46" s="269"/>
      <c r="S46" s="269"/>
      <c r="T46" s="374" t="str">
        <f t="shared" si="8"/>
        <v/>
      </c>
      <c r="U46" s="268"/>
      <c r="V46" s="269"/>
      <c r="W46" s="269"/>
      <c r="X46" s="374" t="str">
        <f t="shared" si="7"/>
        <v/>
      </c>
      <c r="Y46" s="268"/>
      <c r="Z46" s="269"/>
      <c r="AA46" s="276"/>
      <c r="AB46" s="271">
        <f>IF(AA46="",0,VLOOKUP(AA46,Daten!$B$2:$C$11,2,FALSE))</f>
        <v>0</v>
      </c>
      <c r="AC46" s="272"/>
      <c r="AD46" s="273"/>
      <c r="AE46" s="223">
        <v>13</v>
      </c>
      <c r="AF46" s="16"/>
    </row>
    <row r="47" spans="1:32" ht="12" customHeight="1">
      <c r="A47" s="242" t="s">
        <v>139</v>
      </c>
      <c r="B47" s="408"/>
      <c r="C47" s="406"/>
      <c r="D47" s="406"/>
      <c r="E47" s="471"/>
      <c r="F47" s="401"/>
      <c r="G47" s="243" t="s">
        <v>80</v>
      </c>
      <c r="H47" s="290"/>
      <c r="I47" s="291"/>
      <c r="J47" s="373">
        <f ca="1">IF(INDIRECT($AK$1&amp;"!a21")="","",INDIRECT($AK$1&amp;"!a21"))</f>
        <v>14</v>
      </c>
      <c r="K47" s="266" t="s">
        <v>25</v>
      </c>
      <c r="L47" s="402" t="str">
        <f ca="1">IF(J47="","",CONCATENATE(IF(INDIRECT($AK$1&amp;"!c21")="","",INDIRECT($AK$1&amp;"!c21")),", ",IF(INDIRECT($AK$1&amp;"!d21")="","",INDIRECT($AK$1&amp;"!d21"))))</f>
        <v>B, n</v>
      </c>
      <c r="M47" s="403" t="str">
        <f t="shared" ca="1" si="10"/>
        <v>Trikotnummer</v>
      </c>
      <c r="N47" s="403" t="str">
        <f t="shared" ca="1" si="10"/>
        <v>Trikotnummer</v>
      </c>
      <c r="O47" s="404" t="str">
        <f t="shared" ca="1" si="10"/>
        <v>Trikotnummer</v>
      </c>
      <c r="P47" s="267">
        <f ca="1">IF(INDIRECT($AK$1&amp;"!e21")="","",INDIRECT($AK$1&amp;"!e21"))</f>
        <v>2014</v>
      </c>
      <c r="Q47" s="268"/>
      <c r="R47" s="269"/>
      <c r="S47" s="269"/>
      <c r="T47" s="374" t="str">
        <f t="shared" si="8"/>
        <v/>
      </c>
      <c r="U47" s="268"/>
      <c r="V47" s="269"/>
      <c r="W47" s="269"/>
      <c r="X47" s="374" t="str">
        <f t="shared" si="7"/>
        <v/>
      </c>
      <c r="Y47" s="268"/>
      <c r="Z47" s="269"/>
      <c r="AA47" s="276"/>
      <c r="AB47" s="271">
        <f>IF(AA47="",0,VLOOKUP(AA47,Daten!$B$2:$C$11,2,FALSE))</f>
        <v>0</v>
      </c>
      <c r="AC47" s="272"/>
      <c r="AD47" s="273"/>
      <c r="AE47" s="223">
        <v>14</v>
      </c>
      <c r="AF47" s="16"/>
    </row>
    <row r="48" spans="1:32" ht="12" customHeight="1" thickBot="1">
      <c r="A48" s="390" t="s">
        <v>292</v>
      </c>
      <c r="B48" s="407">
        <f>IF(NOT(AL19="0"),1,0)</f>
        <v>0</v>
      </c>
      <c r="C48" s="459" t="str">
        <f>IF(NOT(AM19="0"),B48,"")</f>
        <v/>
      </c>
      <c r="D48" s="460"/>
      <c r="E48" s="457">
        <f>IF(NOT(AL21="0"),1,0)</f>
        <v>0</v>
      </c>
      <c r="F48" s="411" t="str">
        <f>IF(NOT(AM19="0"),E48,"")</f>
        <v/>
      </c>
      <c r="G48" s="405"/>
      <c r="H48" s="405"/>
      <c r="I48" s="405"/>
      <c r="J48" s="373">
        <f ca="1">IF(INDIRECT($AK$1&amp;"!a22")="","",INDIRECT($AK$1&amp;"!a22"))</f>
        <v>15</v>
      </c>
      <c r="K48" s="266" t="s">
        <v>25</v>
      </c>
      <c r="L48" s="402" t="str">
        <f ca="1">IF(J48="","",CONCATENATE(IF(INDIRECT($AK$1&amp;"!c22")="","",INDIRECT($AK$1&amp;"!c22")),", ",IF(INDIRECT($AK$1&amp;"!d22")="","",INDIRECT($AK$1&amp;"!d22"))))</f>
        <v>B, o</v>
      </c>
      <c r="M48" s="403" t="str">
        <f t="shared" ca="1" si="10"/>
        <v>Trikotnummer</v>
      </c>
      <c r="N48" s="403" t="str">
        <f t="shared" ca="1" si="10"/>
        <v>Trikotnummer</v>
      </c>
      <c r="O48" s="404" t="str">
        <f t="shared" ca="1" si="10"/>
        <v>Trikotnummer</v>
      </c>
      <c r="P48" s="267">
        <f ca="1">IF(INDIRECT($AK$1&amp;"!e22")="","",INDIRECT($AK$1&amp;"!e22"))</f>
        <v>2015</v>
      </c>
      <c r="Q48" s="268"/>
      <c r="R48" s="269"/>
      <c r="S48" s="269"/>
      <c r="T48" s="374" t="str">
        <f t="shared" si="8"/>
        <v/>
      </c>
      <c r="U48" s="268"/>
      <c r="V48" s="269"/>
      <c r="W48" s="269"/>
      <c r="X48" s="374" t="str">
        <f t="shared" si="7"/>
        <v/>
      </c>
      <c r="Y48" s="268"/>
      <c r="Z48" s="269"/>
      <c r="AA48" s="276"/>
      <c r="AB48" s="271">
        <f>IF(AA48="",0,VLOOKUP(AA48,Daten!$B$2:$C$11,2,FALSE))</f>
        <v>0</v>
      </c>
      <c r="AC48" s="272"/>
      <c r="AD48" s="273"/>
      <c r="AE48" s="223">
        <v>15</v>
      </c>
      <c r="AF48" s="16"/>
    </row>
    <row r="49" spans="1:32" ht="12" customHeight="1" thickBot="1">
      <c r="A49" s="391"/>
      <c r="B49" s="413"/>
      <c r="C49" s="461"/>
      <c r="D49" s="462"/>
      <c r="E49" s="458"/>
      <c r="F49" s="412"/>
      <c r="G49" s="405"/>
      <c r="H49" s="405"/>
      <c r="I49" s="405"/>
      <c r="J49" s="373">
        <f ca="1">IF(INDIRECT($AK$1&amp;"!a23")="","",INDIRECT($AK$1&amp;"!a23"))</f>
        <v>16</v>
      </c>
      <c r="K49" s="266" t="s">
        <v>25</v>
      </c>
      <c r="L49" s="402" t="str">
        <f ca="1">IF(J49="","",CONCATENATE(IF(INDIRECT($AK$1&amp;"!c23")="","",INDIRECT($AK$1&amp;"!c23")),", ",IF(INDIRECT($AK$1&amp;"!d23")="","",INDIRECT($AK$1&amp;"!d23"))))</f>
        <v>B, p</v>
      </c>
      <c r="M49" s="403" t="str">
        <f t="shared" ca="1" si="10"/>
        <v>Trikotnummer</v>
      </c>
      <c r="N49" s="403" t="str">
        <f t="shared" ca="1" si="10"/>
        <v>Trikotnummer</v>
      </c>
      <c r="O49" s="404" t="str">
        <f t="shared" ca="1" si="10"/>
        <v>Trikotnummer</v>
      </c>
      <c r="P49" s="267">
        <f ca="1">IF(INDIRECT($AK$1&amp;"!e23")="","",INDIRECT($AK$1&amp;"!e23"))</f>
        <v>2016</v>
      </c>
      <c r="Q49" s="268"/>
      <c r="R49" s="269"/>
      <c r="S49" s="269"/>
      <c r="T49" s="374" t="str">
        <f t="shared" si="8"/>
        <v/>
      </c>
      <c r="U49" s="268"/>
      <c r="V49" s="269"/>
      <c r="W49" s="269"/>
      <c r="X49" s="374" t="str">
        <f t="shared" si="7"/>
        <v/>
      </c>
      <c r="Y49" s="268"/>
      <c r="Z49" s="269"/>
      <c r="AA49" s="276"/>
      <c r="AB49" s="271">
        <f>IF(AA49="",0,VLOOKUP(AA49,Daten!$B$2:$C$11,2,FALSE))</f>
        <v>0</v>
      </c>
      <c r="AC49" s="272"/>
      <c r="AD49" s="273"/>
      <c r="AE49" s="223">
        <v>16</v>
      </c>
      <c r="AF49" s="16"/>
    </row>
    <row r="50" spans="1:32" ht="12" customHeight="1">
      <c r="A50" s="245" t="s">
        <v>83</v>
      </c>
      <c r="B50" s="246"/>
      <c r="C50" s="257"/>
      <c r="D50" s="472"/>
      <c r="E50" s="472"/>
      <c r="F50" s="472"/>
      <c r="G50" s="472"/>
      <c r="H50" s="472"/>
      <c r="I50" s="472"/>
      <c r="J50" s="373">
        <f ca="1">IF(INDIRECT($AK$1&amp;"!a24")="","",INDIRECT($AK$1&amp;"!a24"))</f>
        <v>17</v>
      </c>
      <c r="K50" s="266" t="s">
        <v>25</v>
      </c>
      <c r="L50" s="402" t="str">
        <f ca="1">IF(J50="","",CONCATENATE(IF(INDIRECT($AK$1&amp;"!c24")="","",INDIRECT($AK$1&amp;"!c24")),", ",IF(INDIRECT($AK$1&amp;"!d24")="","",INDIRECT($AK$1&amp;"!d24"))))</f>
        <v>B, q</v>
      </c>
      <c r="M50" s="403" t="str">
        <f t="shared" ca="1" si="10"/>
        <v>Trikotnummer</v>
      </c>
      <c r="N50" s="403" t="str">
        <f t="shared" ca="1" si="10"/>
        <v>Trikotnummer</v>
      </c>
      <c r="O50" s="404" t="str">
        <f t="shared" ca="1" si="10"/>
        <v>Trikotnummer</v>
      </c>
      <c r="P50" s="267">
        <f ca="1">IF(INDIRECT($AK$1&amp;"!e24")="","",INDIRECT($AK$1&amp;"!e24"))</f>
        <v>2017</v>
      </c>
      <c r="Q50" s="268"/>
      <c r="R50" s="269"/>
      <c r="S50" s="269"/>
      <c r="T50" s="374" t="str">
        <f t="shared" si="8"/>
        <v/>
      </c>
      <c r="U50" s="268"/>
      <c r="V50" s="269"/>
      <c r="W50" s="269"/>
      <c r="X50" s="374" t="str">
        <f t="shared" si="7"/>
        <v/>
      </c>
      <c r="Y50" s="268"/>
      <c r="Z50" s="269"/>
      <c r="AA50" s="276"/>
      <c r="AB50" s="271">
        <f>IF(AA50="",0,VLOOKUP(AA50,Daten!$B$2:$C$11,2,FALSE))</f>
        <v>0</v>
      </c>
      <c r="AC50" s="272"/>
      <c r="AD50" s="273"/>
      <c r="AE50" s="223">
        <v>17</v>
      </c>
      <c r="AF50" s="16"/>
    </row>
    <row r="51" spans="1:32" ht="12" customHeight="1" thickBot="1">
      <c r="A51" s="245" t="s">
        <v>84</v>
      </c>
      <c r="B51" s="246"/>
      <c r="C51" s="257"/>
      <c r="D51" s="472"/>
      <c r="E51" s="472"/>
      <c r="F51" s="472"/>
      <c r="G51" s="472"/>
      <c r="H51" s="472"/>
      <c r="I51" s="472"/>
      <c r="J51" s="373">
        <f ca="1">IF(INDIRECT($AK$1&amp;"!a25")="","",INDIRECT($AK$1&amp;"!a25"))</f>
        <v>18</v>
      </c>
      <c r="K51" s="266" t="s">
        <v>25</v>
      </c>
      <c r="L51" s="402" t="str">
        <f ca="1">IF(J51="","",CONCATENATE(IF(INDIRECT($AK$1&amp;"!c25")="","",INDIRECT($AK$1&amp;"!c25")),", ",IF(INDIRECT($AK$1&amp;"!d25")="","",INDIRECT($AK$1&amp;"!d25"))))</f>
        <v>B, r</v>
      </c>
      <c r="M51" s="403" t="str">
        <f t="shared" ca="1" si="10"/>
        <v>Trikotnummer</v>
      </c>
      <c r="N51" s="403" t="str">
        <f t="shared" ca="1" si="10"/>
        <v>Trikotnummer</v>
      </c>
      <c r="O51" s="404" t="str">
        <f t="shared" ca="1" si="10"/>
        <v>Trikotnummer</v>
      </c>
      <c r="P51" s="267">
        <f ca="1">IF(INDIRECT($AK$1&amp;"!e25")="","",INDIRECT($AK$1&amp;"!e25"))</f>
        <v>2018</v>
      </c>
      <c r="Q51" s="268"/>
      <c r="R51" s="269"/>
      <c r="S51" s="269"/>
      <c r="T51" s="374" t="str">
        <f t="shared" si="8"/>
        <v/>
      </c>
      <c r="U51" s="268"/>
      <c r="V51" s="269"/>
      <c r="W51" s="269"/>
      <c r="X51" s="374" t="str">
        <f t="shared" si="7"/>
        <v/>
      </c>
      <c r="Y51" s="268"/>
      <c r="Z51" s="269"/>
      <c r="AA51" s="276"/>
      <c r="AB51" s="271">
        <f>IF(AA51="",0,VLOOKUP(AA51,Daten!$B$2:$C$11,2,FALSE))</f>
        <v>0</v>
      </c>
      <c r="AC51" s="272"/>
      <c r="AD51" s="273"/>
      <c r="AE51" s="223">
        <v>18</v>
      </c>
      <c r="AF51" s="16"/>
    </row>
    <row r="52" spans="1:32" ht="6" customHeight="1">
      <c r="A52" s="394"/>
      <c r="B52" s="394"/>
      <c r="C52" s="394"/>
      <c r="D52" s="472"/>
      <c r="E52" s="472"/>
      <c r="F52" s="472"/>
      <c r="G52" s="472"/>
      <c r="H52" s="472"/>
      <c r="I52" s="472"/>
      <c r="J52" s="395" t="s">
        <v>51</v>
      </c>
      <c r="K52" s="396"/>
      <c r="L52" s="438" t="s">
        <v>319</v>
      </c>
      <c r="M52" s="441" t="s">
        <v>45</v>
      </c>
      <c r="N52" s="441"/>
      <c r="O52" s="441"/>
      <c r="P52" s="452">
        <f ca="1">IF(INDIRECT($AK$1&amp;"!g1")="","",INDIRECT($AK$1&amp;"!g1"))</f>
        <v>18</v>
      </c>
      <c r="Q52" s="423"/>
      <c r="R52" s="414"/>
      <c r="S52" s="414"/>
      <c r="T52" s="426" t="str">
        <f>IF(TRIM(Q52)="","",T51+1)</f>
        <v/>
      </c>
      <c r="U52" s="423"/>
      <c r="V52" s="414"/>
      <c r="W52" s="414"/>
      <c r="X52" s="426" t="str">
        <f t="shared" si="7"/>
        <v/>
      </c>
      <c r="Y52" s="423"/>
      <c r="Z52" s="414"/>
      <c r="AA52" s="416"/>
      <c r="AB52" s="435">
        <f>IF(AA52="",0,VLOOKUP(AA52,Daten!$B$2:$C$11,2,FALSE))</f>
        <v>0</v>
      </c>
      <c r="AC52" s="418"/>
      <c r="AD52" s="420"/>
      <c r="AE52" s="422">
        <v>19</v>
      </c>
      <c r="AF52" s="118"/>
    </row>
    <row r="53" spans="1:32" ht="6" customHeight="1" thickBot="1">
      <c r="A53" s="394"/>
      <c r="B53" s="394"/>
      <c r="C53" s="394"/>
      <c r="D53" s="472"/>
      <c r="E53" s="472"/>
      <c r="F53" s="472"/>
      <c r="G53" s="472"/>
      <c r="H53" s="472"/>
      <c r="I53" s="472"/>
      <c r="J53" s="397"/>
      <c r="K53" s="398"/>
      <c r="L53" s="439"/>
      <c r="M53" s="455" t="s">
        <v>54</v>
      </c>
      <c r="N53" s="455"/>
      <c r="O53" s="455"/>
      <c r="P53" s="453"/>
      <c r="Q53" s="424"/>
      <c r="R53" s="425"/>
      <c r="S53" s="425"/>
      <c r="T53" s="433"/>
      <c r="U53" s="424"/>
      <c r="V53" s="425"/>
      <c r="W53" s="415"/>
      <c r="X53" s="427"/>
      <c r="Y53" s="424"/>
      <c r="Z53" s="425"/>
      <c r="AA53" s="430"/>
      <c r="AB53" s="436">
        <f>IF(AA53="",0,VLOOKUP(AA53,Daten!$B$2:$C$11,2,FALSE))</f>
        <v>0</v>
      </c>
      <c r="AC53" s="431"/>
      <c r="AD53" s="432"/>
      <c r="AE53" s="422"/>
      <c r="AF53" s="118"/>
    </row>
    <row r="54" spans="1:32" ht="6" customHeight="1" thickBot="1">
      <c r="A54" s="394"/>
      <c r="B54" s="394"/>
      <c r="C54" s="394"/>
      <c r="D54" s="472"/>
      <c r="E54" s="472"/>
      <c r="F54" s="472"/>
      <c r="G54" s="472"/>
      <c r="H54" s="472"/>
      <c r="I54" s="472"/>
      <c r="J54" s="397"/>
      <c r="K54" s="398"/>
      <c r="L54" s="440"/>
      <c r="M54" s="456"/>
      <c r="N54" s="456"/>
      <c r="O54" s="456"/>
      <c r="P54" s="454"/>
      <c r="Q54" s="423"/>
      <c r="R54" s="414"/>
      <c r="S54" s="414"/>
      <c r="T54" s="426" t="str">
        <f>IF(TRIM(Q54)="","",T52+1)</f>
        <v/>
      </c>
      <c r="U54" s="428" t="s">
        <v>57</v>
      </c>
      <c r="V54" s="428"/>
      <c r="W54" s="429">
        <f>COUNT($T$34:$T$54,$X$34:$X$53)</f>
        <v>0</v>
      </c>
      <c r="X54" s="429">
        <f>COUNTA($T$34:$T$54,$X$34:$X$53)</f>
        <v>39</v>
      </c>
      <c r="Y54" s="423"/>
      <c r="Z54" s="414"/>
      <c r="AA54" s="416"/>
      <c r="AB54" s="435">
        <f>IF(AA54="",0,VLOOKUP(AA54,Daten!$B$2:$C$11,2,FALSE))</f>
        <v>0</v>
      </c>
      <c r="AC54" s="418"/>
      <c r="AD54" s="420"/>
      <c r="AE54" s="422">
        <v>20</v>
      </c>
      <c r="AF54" s="118"/>
    </row>
    <row r="55" spans="1:32" ht="6" customHeight="1" thickBot="1">
      <c r="A55" s="394"/>
      <c r="B55" s="394"/>
      <c r="C55" s="394"/>
      <c r="D55" s="472"/>
      <c r="E55" s="472"/>
      <c r="F55" s="472"/>
      <c r="G55" s="472"/>
      <c r="H55" s="472"/>
      <c r="I55" s="472"/>
      <c r="J55" s="397"/>
      <c r="K55" s="398"/>
      <c r="L55" s="444" t="str">
        <f ca="1">IF(D11="","",IF(INDIRECT($AK$1&amp;"!c5")="","",IF(INDIRECT($AK$1&amp;"!d5")="","",CONCATENATE(INDIRECT($AK$1&amp;"!c5"),", ",INDIRECT($AK$1&amp;"!d5")))))</f>
        <v>B, z</v>
      </c>
      <c r="M55" s="445"/>
      <c r="N55" s="446"/>
      <c r="O55" s="446"/>
      <c r="P55" s="447"/>
      <c r="Q55" s="434"/>
      <c r="R55" s="415"/>
      <c r="S55" s="415"/>
      <c r="T55" s="427"/>
      <c r="U55" s="428"/>
      <c r="V55" s="428"/>
      <c r="W55" s="429">
        <f>COUNTA($T$34:$T$54,$X$34:$X$53)</f>
        <v>39</v>
      </c>
      <c r="X55" s="429">
        <f>COUNTA($T$34:$T$54,$X$34:$X$53)</f>
        <v>39</v>
      </c>
      <c r="Y55" s="434"/>
      <c r="Z55" s="415"/>
      <c r="AA55" s="417"/>
      <c r="AB55" s="437">
        <f>IF(AA55="",0,VLOOKUP(AA55,Daten!$B$2:$C$11,2,FALSE))</f>
        <v>0</v>
      </c>
      <c r="AC55" s="419"/>
      <c r="AD55" s="421"/>
      <c r="AE55" s="422"/>
      <c r="AF55" s="118"/>
    </row>
    <row r="56" spans="1:32" ht="12" customHeight="1" thickBot="1">
      <c r="A56" s="409" t="s">
        <v>299</v>
      </c>
      <c r="B56" s="410"/>
      <c r="C56" s="410"/>
      <c r="D56" s="410"/>
      <c r="E56" s="410"/>
      <c r="F56" s="410"/>
      <c r="G56" s="410"/>
      <c r="H56" s="410"/>
      <c r="I56" s="297"/>
      <c r="J56" s="399"/>
      <c r="K56" s="400"/>
      <c r="L56" s="444"/>
      <c r="M56" s="448"/>
      <c r="N56" s="449"/>
      <c r="O56" s="449"/>
      <c r="P56" s="450"/>
      <c r="Q56" s="451" t="s">
        <v>60</v>
      </c>
      <c r="R56" s="451"/>
      <c r="S56" s="451"/>
      <c r="T56" s="451"/>
      <c r="U56" s="327"/>
      <c r="V56" s="328"/>
      <c r="W56" s="328"/>
      <c r="X56" s="329"/>
      <c r="Y56" s="451" t="s">
        <v>57</v>
      </c>
      <c r="Z56" s="451"/>
      <c r="AA56" s="451"/>
      <c r="AB56" s="239"/>
      <c r="AC56" s="298">
        <f>SUM(AB34:AB51)+AB52+AB54</f>
        <v>0</v>
      </c>
      <c r="AD56" s="247" t="s">
        <v>61</v>
      </c>
      <c r="AE56" s="257"/>
    </row>
  </sheetData>
  <sheetProtection password="E760" sheet="1" objects="1" scenarios="1" selectLockedCells="1"/>
  <dataConsolidate/>
  <mergeCells count="231">
    <mergeCell ref="L12:O12"/>
    <mergeCell ref="L20:O20"/>
    <mergeCell ref="L21:O21"/>
    <mergeCell ref="L22:O22"/>
    <mergeCell ref="X2:X4"/>
    <mergeCell ref="Z2:Z4"/>
    <mergeCell ref="AE2:AE4"/>
    <mergeCell ref="L5:O5"/>
    <mergeCell ref="D1:I6"/>
    <mergeCell ref="K1:P1"/>
    <mergeCell ref="Q1:X1"/>
    <mergeCell ref="Y1:AD1"/>
    <mergeCell ref="J2:J4"/>
    <mergeCell ref="K2:O4"/>
    <mergeCell ref="R2:R4"/>
    <mergeCell ref="S2:S4"/>
    <mergeCell ref="T2:T4"/>
    <mergeCell ref="AB2:AB4"/>
    <mergeCell ref="AG13:AH13"/>
    <mergeCell ref="T23:T24"/>
    <mergeCell ref="U23:U24"/>
    <mergeCell ref="A9:C10"/>
    <mergeCell ref="D9:H10"/>
    <mergeCell ref="I9:I10"/>
    <mergeCell ref="L6:O6"/>
    <mergeCell ref="L10:O10"/>
    <mergeCell ref="V2:V4"/>
    <mergeCell ref="W2:W4"/>
    <mergeCell ref="A11:C12"/>
    <mergeCell ref="D11:H12"/>
    <mergeCell ref="I11:I12"/>
    <mergeCell ref="L11:O11"/>
    <mergeCell ref="L9:O9"/>
    <mergeCell ref="A1:C6"/>
    <mergeCell ref="A7:C8"/>
    <mergeCell ref="D7:H8"/>
    <mergeCell ref="A13:C13"/>
    <mergeCell ref="D13:F14"/>
    <mergeCell ref="H13:I14"/>
    <mergeCell ref="L13:O13"/>
    <mergeCell ref="A14:C14"/>
    <mergeCell ref="L19:O19"/>
    <mergeCell ref="A20:A21"/>
    <mergeCell ref="L17:O17"/>
    <mergeCell ref="L18:O18"/>
    <mergeCell ref="L14:O14"/>
    <mergeCell ref="C15:C16"/>
    <mergeCell ref="F15:F16"/>
    <mergeCell ref="I15:I16"/>
    <mergeCell ref="L15:O15"/>
    <mergeCell ref="L16:O16"/>
    <mergeCell ref="G15:H15"/>
    <mergeCell ref="G16:H16"/>
    <mergeCell ref="A17:D17"/>
    <mergeCell ref="A18:D18"/>
    <mergeCell ref="A19:D19"/>
    <mergeCell ref="G17:H17"/>
    <mergeCell ref="G18:H18"/>
    <mergeCell ref="G19:H19"/>
    <mergeCell ref="C21:D21"/>
    <mergeCell ref="C20:D20"/>
    <mergeCell ref="H20:I20"/>
    <mergeCell ref="H21:I21"/>
    <mergeCell ref="T25:T26"/>
    <mergeCell ref="U25:V26"/>
    <mergeCell ref="Q25:Q26"/>
    <mergeCell ref="R25:R26"/>
    <mergeCell ref="S25:S26"/>
    <mergeCell ref="C22:D24"/>
    <mergeCell ref="F22:F24"/>
    <mergeCell ref="G22:G24"/>
    <mergeCell ref="H22:I24"/>
    <mergeCell ref="J23:K27"/>
    <mergeCell ref="L23:L25"/>
    <mergeCell ref="M23:O23"/>
    <mergeCell ref="C25:D27"/>
    <mergeCell ref="F25:F27"/>
    <mergeCell ref="G25:G27"/>
    <mergeCell ref="H25:I27"/>
    <mergeCell ref="M24:O24"/>
    <mergeCell ref="M25:O25"/>
    <mergeCell ref="AC23:AC24"/>
    <mergeCell ref="AD23:AD24"/>
    <mergeCell ref="AE23:AE24"/>
    <mergeCell ref="AE25:AE26"/>
    <mergeCell ref="L26:L27"/>
    <mergeCell ref="M26:P27"/>
    <mergeCell ref="Q27:T27"/>
    <mergeCell ref="Y27:AA27"/>
    <mergeCell ref="W25:X26"/>
    <mergeCell ref="Y25:Y26"/>
    <mergeCell ref="Z25:Z26"/>
    <mergeCell ref="AA25:AA26"/>
    <mergeCell ref="AC25:AC26"/>
    <mergeCell ref="AD25:AD26"/>
    <mergeCell ref="V23:V24"/>
    <mergeCell ref="W23:W24"/>
    <mergeCell ref="X23:X24"/>
    <mergeCell ref="Y23:Y24"/>
    <mergeCell ref="Z23:Z24"/>
    <mergeCell ref="AA23:AA24"/>
    <mergeCell ref="P23:P25"/>
    <mergeCell ref="Q23:Q24"/>
    <mergeCell ref="R23:R24"/>
    <mergeCell ref="S23:S24"/>
    <mergeCell ref="AE31:AE33"/>
    <mergeCell ref="Q28:X30"/>
    <mergeCell ref="Y28:AD30"/>
    <mergeCell ref="C31:D33"/>
    <mergeCell ref="F31:F33"/>
    <mergeCell ref="G31:G33"/>
    <mergeCell ref="H31:I33"/>
    <mergeCell ref="J31:J33"/>
    <mergeCell ref="K31:O33"/>
    <mergeCell ref="R31:R33"/>
    <mergeCell ref="S31:S33"/>
    <mergeCell ref="C28:D30"/>
    <mergeCell ref="F28:F30"/>
    <mergeCell ref="G28:G30"/>
    <mergeCell ref="H28:I30"/>
    <mergeCell ref="J28:J30"/>
    <mergeCell ref="K28:P30"/>
    <mergeCell ref="AB31:AB33"/>
    <mergeCell ref="X31:X33"/>
    <mergeCell ref="Z31:Z33"/>
    <mergeCell ref="L34:O34"/>
    <mergeCell ref="L35:O35"/>
    <mergeCell ref="G37:I38"/>
    <mergeCell ref="L38:O38"/>
    <mergeCell ref="C39:D39"/>
    <mergeCell ref="H39:I39"/>
    <mergeCell ref="L39:O39"/>
    <mergeCell ref="A37:F37"/>
    <mergeCell ref="A38:F38"/>
    <mergeCell ref="A36:I36"/>
    <mergeCell ref="D50:I55"/>
    <mergeCell ref="E44:E45"/>
    <mergeCell ref="B40:B41"/>
    <mergeCell ref="B42:B43"/>
    <mergeCell ref="F40:F41"/>
    <mergeCell ref="C34:D35"/>
    <mergeCell ref="F34:F35"/>
    <mergeCell ref="G34:G35"/>
    <mergeCell ref="H34:I35"/>
    <mergeCell ref="E48:E49"/>
    <mergeCell ref="C48:D49"/>
    <mergeCell ref="C44:D45"/>
    <mergeCell ref="C40:D41"/>
    <mergeCell ref="C42:D43"/>
    <mergeCell ref="F42:F43"/>
    <mergeCell ref="G42:I42"/>
    <mergeCell ref="L42:O42"/>
    <mergeCell ref="G43:I43"/>
    <mergeCell ref="L43:O43"/>
    <mergeCell ref="G40:G41"/>
    <mergeCell ref="H40:I41"/>
    <mergeCell ref="E40:E41"/>
    <mergeCell ref="E42:E43"/>
    <mergeCell ref="E46:E47"/>
    <mergeCell ref="R54:R55"/>
    <mergeCell ref="Y54:Y55"/>
    <mergeCell ref="AB23:AB24"/>
    <mergeCell ref="AB25:AB26"/>
    <mergeCell ref="AB52:AB53"/>
    <mergeCell ref="AB54:AB55"/>
    <mergeCell ref="L52:L54"/>
    <mergeCell ref="M52:O52"/>
    <mergeCell ref="T31:T33"/>
    <mergeCell ref="V31:V33"/>
    <mergeCell ref="W31:W33"/>
    <mergeCell ref="L55:L56"/>
    <mergeCell ref="M55:P56"/>
    <mergeCell ref="Q56:T56"/>
    <mergeCell ref="Y56:AA56"/>
    <mergeCell ref="P52:P54"/>
    <mergeCell ref="M53:O53"/>
    <mergeCell ref="M54:O54"/>
    <mergeCell ref="L48:O48"/>
    <mergeCell ref="L49:O49"/>
    <mergeCell ref="L40:O40"/>
    <mergeCell ref="L41:O41"/>
    <mergeCell ref="L50:O50"/>
    <mergeCell ref="L51:O51"/>
    <mergeCell ref="Z54:Z55"/>
    <mergeCell ref="AA54:AA55"/>
    <mergeCell ref="AC54:AC55"/>
    <mergeCell ref="AD54:AD55"/>
    <mergeCell ref="AE54:AE55"/>
    <mergeCell ref="Q52:Q53"/>
    <mergeCell ref="R52:R53"/>
    <mergeCell ref="S52:S53"/>
    <mergeCell ref="S54:S55"/>
    <mergeCell ref="T54:T55"/>
    <mergeCell ref="U54:V55"/>
    <mergeCell ref="W54:X55"/>
    <mergeCell ref="Z52:Z53"/>
    <mergeCell ref="AA52:AA53"/>
    <mergeCell ref="AC52:AC53"/>
    <mergeCell ref="AD52:AD53"/>
    <mergeCell ref="AE52:AE53"/>
    <mergeCell ref="T52:T53"/>
    <mergeCell ref="U52:U53"/>
    <mergeCell ref="V52:V53"/>
    <mergeCell ref="W52:W53"/>
    <mergeCell ref="X52:X53"/>
    <mergeCell ref="Y52:Y53"/>
    <mergeCell ref="Q54:Q55"/>
    <mergeCell ref="A31:A33"/>
    <mergeCell ref="A28:A30"/>
    <mergeCell ref="A48:A49"/>
    <mergeCell ref="A23:A24"/>
    <mergeCell ref="A25:A26"/>
    <mergeCell ref="A34:A35"/>
    <mergeCell ref="AG1:AH1"/>
    <mergeCell ref="A52:C53"/>
    <mergeCell ref="J52:K56"/>
    <mergeCell ref="F44:F45"/>
    <mergeCell ref="L44:O44"/>
    <mergeCell ref="G45:I46"/>
    <mergeCell ref="L45:O45"/>
    <mergeCell ref="C46:D47"/>
    <mergeCell ref="F46:F47"/>
    <mergeCell ref="L46:O46"/>
    <mergeCell ref="L47:O47"/>
    <mergeCell ref="B44:B45"/>
    <mergeCell ref="B46:B47"/>
    <mergeCell ref="A56:H56"/>
    <mergeCell ref="A54:C55"/>
    <mergeCell ref="F48:F49"/>
    <mergeCell ref="G48:I49"/>
    <mergeCell ref="B48:B49"/>
  </mergeCells>
  <conditionalFormatting sqref="C22:G35 D50 Y5:AD26 C40:F41 E42 E44 E46 C48:F49 C48 F48 C40:D47 F40:F47 Y34:AD55 J13:J19 K13:K22 L17:O18 L13:O16 J9:K12 J5:O8 L9 P5:P19 Q5:T26 Q34:T55 U5:X24 U34:X53 D13 C15 F15 F17:F19 H13 I15:I19 G40:I41 U27:X27 U56:X56">
    <cfRule type="cellIs" dxfId="48" priority="25" operator="notEqual">
      <formula>""</formula>
    </cfRule>
  </conditionalFormatting>
  <conditionalFormatting sqref="H22:I35">
    <cfRule type="expression" dxfId="47" priority="21">
      <formula>LEN(C22)&gt;0</formula>
    </cfRule>
  </conditionalFormatting>
  <conditionalFormatting sqref="L10:O12">
    <cfRule type="cellIs" dxfId="46" priority="15" operator="notEqual">
      <formula>""</formula>
    </cfRule>
  </conditionalFormatting>
  <conditionalFormatting sqref="AC27">
    <cfRule type="cellIs" dxfId="45" priority="19" operator="notEqual">
      <formula>""</formula>
    </cfRule>
  </conditionalFormatting>
  <conditionalFormatting sqref="AC56">
    <cfRule type="cellIs" dxfId="44" priority="17" operator="notEqual">
      <formula>""</formula>
    </cfRule>
  </conditionalFormatting>
  <conditionalFormatting sqref="J20:J22">
    <cfRule type="cellIs" dxfId="43" priority="16" operator="notEqual">
      <formula>""</formula>
    </cfRule>
  </conditionalFormatting>
  <conditionalFormatting sqref="L19:O22">
    <cfRule type="cellIs" dxfId="42" priority="14" operator="notEqual">
      <formula>""</formula>
    </cfRule>
  </conditionalFormatting>
  <conditionalFormatting sqref="P20:P22">
    <cfRule type="cellIs" dxfId="41" priority="13" operator="notEqual">
      <formula>""</formula>
    </cfRule>
  </conditionalFormatting>
  <conditionalFormatting sqref="U27:X27 U56:X56">
    <cfRule type="cellIs" dxfId="40" priority="7" operator="notEqual">
      <formula>""</formula>
    </cfRule>
  </conditionalFormatting>
  <conditionalFormatting sqref="T5:T26 T34:T55 X5:X24 X34:X53">
    <cfRule type="containsErrors" dxfId="39" priority="6">
      <formula>ISERROR(T5)</formula>
    </cfRule>
  </conditionalFormatting>
  <conditionalFormatting sqref="J42:J48 K42:K51 L46:O47 L42:L45 J38:K41 J34:O37 L38:O38 P34:P48">
    <cfRule type="cellIs" dxfId="38" priority="5" operator="notEqual">
      <formula>""</formula>
    </cfRule>
  </conditionalFormatting>
  <conditionalFormatting sqref="L39:O41">
    <cfRule type="cellIs" dxfId="37" priority="3" operator="notEqual">
      <formula>""</formula>
    </cfRule>
  </conditionalFormatting>
  <conditionalFormatting sqref="J49:J51">
    <cfRule type="cellIs" dxfId="36" priority="4" operator="notEqual">
      <formula>""</formula>
    </cfRule>
  </conditionalFormatting>
  <conditionalFormatting sqref="L48:O51">
    <cfRule type="cellIs" dxfId="35" priority="2" operator="notEqual">
      <formula>""</formula>
    </cfRule>
  </conditionalFormatting>
  <conditionalFormatting sqref="P49:P51">
    <cfRule type="cellIs" dxfId="34" priority="1" operator="notEqual">
      <formula>""</formula>
    </cfRule>
  </conditionalFormatting>
  <dataValidations count="17">
    <dataValidation showInputMessage="1" showErrorMessage="1" sqref="AB25 AB5:AB23 AB54 AB34:AB52" xr:uid="{02DA7D38-9DC5-4798-8427-565D44DD0649}"/>
    <dataValidation allowBlank="1" showErrorMessage="1" promptTitle="Spielzeit bei Strafen" prompt="Bitte trage hier die Spielzeit der Strafe ein. Beim Tragen wird die Spielzeit ohne &quot;:&quot; eingegeben. Es reicht aus eine vierstelle Zahl zu verwenden!_x000a__x000a_Beispiel:_x000a_Spielzeit 17:45 wird als 1745 eingetragen" sqref="Y5:Y26 Y34:Y55 AC5:AC26 AC34:AC55" xr:uid="{D901DF18-2F5B-43AA-AA64-4A9CB84E1520}"/>
    <dataValidation allowBlank="1" showErrorMessage="1" promptTitle="Spielnummer" prompt="Hier wird die Spielnummer eingetragen. Die Spielnummer ist im Excel-Export des Spielplans zu finden:_x000a_www.ishd.de/saison/2023/spielplan.xlsx" sqref="I15:I16" xr:uid="{0CBDC102-B139-4136-A014-657ED39C4AB0}"/>
    <dataValidation allowBlank="1" showErrorMessage="1" promptTitle="Spielort" prompt="Hier wird der Spielort des aktuellen Spiels eingetragen." sqref="D13:F14" xr:uid="{5D22DF1F-D530-44CB-A264-22BE43740DF4}"/>
    <dataValidation allowBlank="1" showErrorMessage="1" promptTitle="Startzeit" prompt="Hier wird die Startzeit des Spiels eingetragen! Beim Tragen wird die Uhrzeit ohne &quot;:&quot; eingegeben. Es reicht aus eine vierstelle Zahl zu verwenden!_x000a__x000a_Beispiel:_x000a_Uhrzeit 17:45 wird als 1745 eingetragen" sqref="C15:C16" xr:uid="{EA94D754-69D7-4909-9A6A-0F9376ED7109}"/>
    <dataValidation allowBlank="1" showErrorMessage="1" promptTitle="Endzeit" prompt="Hier wird die Endzeit des Spiels eingetragen! Beim Tragen wird die Uhrzeit ohne &quot;:&quot; eingegeben. Es reicht aus eine vierstelle Zahl zu verwenden!_x000a__x000a_Beispiel:_x000a_Uhrzeit 17:45 wird als 1745 eingetragen" sqref="F15:F16" xr:uid="{E635C10F-19C1-489F-96C5-8BDD79419369}"/>
    <dataValidation allowBlank="1" showErrorMessage="1" promptTitle="Zuschauerzahl" prompt="Hier wird die Zuschauerzahl des Spiels eingetragen!" sqref="I19" xr:uid="{06F2E1C8-7BE2-48C0-A9FC-511E94A23FE5}"/>
    <dataValidation allowBlank="1" showErrorMessage="1" promptTitle="Bemerkungen" prompt="Dieses Feld wird von den Schiedsrichtern ausgefüllt, falls Anmerkungen zum Spielverlauf vorgenommen werden müssen." sqref="D50:I55" xr:uid="{94F422E8-5C6C-459C-A477-E2CAC7C1D536}"/>
    <dataValidation type="list" allowBlank="1" showInputMessage="1" showErrorMessage="1" errorTitle="Spieler ist unbekannt" error="Die eingegebene Nummer entspricht keiner Nummer aus der Spieleraufstellung!" sqref="Z5:Z26" xr:uid="{4F080CCA-6BD3-4350-AA07-E089BD71A759}">
      <formula1>INDIRECT($AJ$1&amp;"!A8:A25")</formula1>
    </dataValidation>
    <dataValidation type="list" allowBlank="1" showInputMessage="1" showErrorMessage="1" errorTitle="Spieler ist unbekannt" error="Die eingegebene Nummer entspricht keiner Nummer aus der Spieleraufstellung!" sqref="Z34:Z55" xr:uid="{C9069BED-AF42-4CBC-A4BA-CA48C3DC62DC}">
      <formula1>INDIRECT($AK$1&amp;"!A8:A25")</formula1>
    </dataValidation>
    <dataValidation type="list" allowBlank="1" showErrorMessage="1" errorTitle="Spieler ist unbekannt" error="Die eingegebene Nummer entspricht keiner Nummer aus der Spieleraufstellung!" promptTitle="Torschütze" prompt="Hier wird der Torschütze der Gastmannschaft eingetragen!" sqref="R34:R55 V34:V53" xr:uid="{DC3C09B7-BE6C-458B-B53B-D769B7E77AC1}">
      <formula1>INDIRECT($AK$1&amp;"!A8:A25")</formula1>
    </dataValidation>
    <dataValidation type="list" allowBlank="1" showErrorMessage="1" errorTitle="Spieler ist unbekannt" error="Die eingegebene Nummer entspricht keiner Nummer aus der Spieleraufstellung!" promptTitle="Torschütze" prompt="Hier wird der Torschütze der Heimmannschaft eingetragen!" sqref="V5:V24 R5:R26" xr:uid="{2BE65B6B-65A6-4BDB-BADF-1F2B0F87EDB0}">
      <formula1>INDIRECT($AJ$1&amp;"!A8:A25")</formula1>
    </dataValidation>
    <dataValidation type="list" allowBlank="1" showErrorMessage="1" errorTitle="Spieler ist unbekannt" error="Die eingegebene Nummer entspricht keiner Nummer aus der Spieleraufstellung!" promptTitle="Assistent" prompt="Hier wird der Assistent des Torschütze der Heimmannschaft eingetragen!" sqref="W5:W24 S5:S26" xr:uid="{004C4BA3-4CA0-4D5F-9C08-1584ED5D1812}">
      <formula1>INDIRECT($AJ$1&amp;"!A8:A25")</formula1>
    </dataValidation>
    <dataValidation type="list" allowBlank="1" showErrorMessage="1" errorTitle="Spieler ist unbekannt" error="Die eingegebene Nummer entspricht keiner Nummer aus der Spieleraufstellung!" promptTitle="Assistent" prompt="Hier wird der Assistent des Torschütze der Gastmannschaft eingetragen!" sqref="S34:S55 W34:W53" xr:uid="{F5A0106C-7C83-4C30-B75B-DE6A24E5C7E4}">
      <formula1>INDIRECT($AK$1&amp;"!A8:A25")</formula1>
    </dataValidation>
    <dataValidation allowBlank="1" promptTitle="Lizenznummer" prompt="Hier wird die Lizenznummer in korrekter Schreibweise (mit Punkten etc.) eingetragen!" sqref="C22:G35" xr:uid="{E14F2CA5-0C69-4CF0-BE11-78532950110B}"/>
    <dataValidation type="list" allowBlank="1" showInputMessage="1" showErrorMessage="1" sqref="M7:O8 U27:X27 U56:X56 M36:O37" xr:uid="{84EFD10B-B540-4A47-B902-9FBCEB344EEE}">
      <formula1>"x,-"</formula1>
    </dataValidation>
    <dataValidation allowBlank="1" showErrorMessage="1" promptTitle="Spielzeit des Tors" prompt="Bitte trage hier die Spielzeit des Tors ein. Beim Tragen wird die Spielzeit ohne &quot;:&quot; eingegeben. Es reicht aus eine vierstelle Zahl zu verwenden!_x000a__x000a_Beispiel:_x000a_Spielzeit 17:45 wird als 1745 eingetragen" sqref="Q5:Q26 U5:U24 Q34:Q55 U34:U53" xr:uid="{6840B3A8-EB50-4EF6-9C3C-E92EDA4D027D}"/>
  </dataValidations>
  <pageMargins left="3.937007874015748E-2" right="3.937007874015748E-2" top="0.35433070866141736" bottom="0.15748031496062992" header="0.11811023622047245" footer="0.19685039370078741"/>
  <pageSetup paperSize="9" scale="90" orientation="landscape" horizontalDpi="360" verticalDpi="360" r:id="rId1"/>
  <headerFooter>
    <oddHeader>&amp;Le-Spielbericht Inline Hockey&amp;RStand: 17.2.2024_Saison2024</oddHeader>
    <oddFooter>&amp;RDRIV - Deutscher Roll- und Inlineverband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152400</xdr:colOff>
                    <xdr:row>54</xdr:row>
                    <xdr:rowOff>38100</xdr:rowOff>
                  </from>
                  <to>
                    <xdr:col>8</xdr:col>
                    <xdr:colOff>400050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" name="ResetButton">
              <controlPr defaultSize="0" print="0" autoFill="0" autoPict="0" macro="[0]!Spielbericht_Print">
                <anchor moveWithCells="1">
                  <from>
                    <xdr:col>32</xdr:col>
                    <xdr:colOff>9525</xdr:colOff>
                    <xdr:row>14</xdr:row>
                    <xdr:rowOff>0</xdr:rowOff>
                  </from>
                  <to>
                    <xdr:col>34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" name="Button 100">
              <controlPr defaultSize="0" print="0" autoFill="0" autoPict="0" macro="[0]!Spielbericht_Start">
                <anchor moveWithCells="1">
                  <from>
                    <xdr:col>32</xdr:col>
                    <xdr:colOff>9525</xdr:colOff>
                    <xdr:row>2</xdr:row>
                    <xdr:rowOff>0</xdr:rowOff>
                  </from>
                  <to>
                    <xdr:col>34</xdr:col>
                    <xdr:colOff>9525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" name="Button 101">
              <controlPr defaultSize="0" print="0" autoFill="0" autoPict="0" macro="[0]!Spielbericht_Ende">
                <anchor moveWithCells="1">
                  <from>
                    <xdr:col>32</xdr:col>
                    <xdr:colOff>9525</xdr:colOff>
                    <xdr:row>5</xdr:row>
                    <xdr:rowOff>85725</xdr:rowOff>
                  </from>
                  <to>
                    <xdr:col>34</xdr:col>
                    <xdr:colOff>9525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trafe nicht möglich!" error="Die eingegebene Strafe ist nicht möglich! Bitte frage den Schiedrichter nach der korrekten Eingabe/Strafe." xr:uid="{AE1B4728-91C2-4420-82D1-24D957711CCE}">
          <x14:formula1>
            <xm:f>Daten!$B$2:$B$11</xm:f>
          </x14:formula1>
          <xm:sqref>AA5:AA26 AA34:AA55</xm:sqref>
        </x14:dataValidation>
        <x14:dataValidation type="list" allowBlank="1" showErrorMessage="1" promptTitle="Strafzeitencodes" prompt="Die einzelnen Strafen können aus dem Formblatt &quot;Strafzeiten-Codes&quot; abgeleitet werden!" xr:uid="{7BAF746D-F9FC-4732-A415-E7CB4628E0B7}">
          <x14:formula1>
            <xm:f>Daten!$A$2:$A$26</xm:f>
          </x14:formula1>
          <xm:sqref>AD5:AD26 AD34:AD55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FC4D-6A4A-4BB8-A59E-9F540032890A}">
  <sheetPr codeName="Tabelle14">
    <tabColor rgb="FFFF0000"/>
    <pageSetUpPr fitToPage="1"/>
  </sheetPr>
  <dimension ref="A1:AM56"/>
  <sheetViews>
    <sheetView zoomScaleNormal="100" workbookViewId="0">
      <selection sqref="A1:AD56"/>
    </sheetView>
  </sheetViews>
  <sheetFormatPr baseColWidth="10" defaultColWidth="11.140625" defaultRowHeight="15"/>
  <cols>
    <col min="1" max="1" width="8.140625" style="2" customWidth="1"/>
    <col min="2" max="2" width="8.140625" style="2" hidden="1" customWidth="1"/>
    <col min="3" max="3" width="4.5703125" style="2" customWidth="1"/>
    <col min="4" max="4" width="6.5703125" style="2" customWidth="1"/>
    <col min="5" max="5" width="6.5703125" style="2" hidden="1" customWidth="1"/>
    <col min="6" max="6" width="10" style="2" customWidth="1"/>
    <col min="7" max="7" width="12" style="2" customWidth="1"/>
    <col min="8" max="8" width="5.42578125" style="2" customWidth="1"/>
    <col min="9" max="9" width="8" style="2" customWidth="1"/>
    <col min="10" max="10" width="7.28515625" style="2" bestFit="1" customWidth="1"/>
    <col min="11" max="11" width="2.85546875" style="2" customWidth="1"/>
    <col min="12" max="12" width="21.140625" style="2" customWidth="1"/>
    <col min="13" max="15" width="2.5703125" style="2" customWidth="1"/>
    <col min="16" max="16" width="7.140625" style="2" customWidth="1"/>
    <col min="17" max="17" width="6" style="2" bestFit="1" customWidth="1"/>
    <col min="18" max="19" width="3.5703125" style="2" customWidth="1"/>
    <col min="20" max="20" width="3.7109375" style="2" bestFit="1" customWidth="1"/>
    <col min="21" max="21" width="6.5703125" style="2" customWidth="1"/>
    <col min="22" max="23" width="3.5703125" style="2" customWidth="1"/>
    <col min="24" max="24" width="3.7109375" style="2" bestFit="1" customWidth="1"/>
    <col min="25" max="25" width="6.5703125" style="2" customWidth="1"/>
    <col min="26" max="26" width="4.140625" style="2" customWidth="1"/>
    <col min="27" max="27" width="6.5703125" style="2" bestFit="1" customWidth="1"/>
    <col min="28" max="28" width="6.5703125" style="2" hidden="1" customWidth="1"/>
    <col min="29" max="29" width="5.5703125" style="2" customWidth="1"/>
    <col min="30" max="30" width="4.5703125" style="2" customWidth="1"/>
    <col min="31" max="31" width="11.140625" style="2"/>
    <col min="32" max="32" width="2" style="2" customWidth="1"/>
    <col min="33" max="34" width="11.140625" style="2"/>
    <col min="35" max="35" width="2.28515625" style="2" customWidth="1"/>
    <col min="36" max="39" width="11.140625" style="2" hidden="1" customWidth="1"/>
    <col min="40" max="16384" width="11.140625" style="2"/>
  </cols>
  <sheetData>
    <row r="1" spans="1:38" ht="21" customHeight="1" thickBot="1">
      <c r="A1" s="677"/>
      <c r="B1" s="678"/>
      <c r="C1" s="678"/>
      <c r="D1" s="588" t="s">
        <v>0</v>
      </c>
      <c r="E1" s="589"/>
      <c r="F1" s="589"/>
      <c r="G1" s="589"/>
      <c r="H1" s="589"/>
      <c r="I1" s="589"/>
      <c r="J1" s="1">
        <v>1</v>
      </c>
      <c r="K1" s="590">
        <f ca="1">D9</f>
        <v>18</v>
      </c>
      <c r="L1" s="590"/>
      <c r="M1" s="590"/>
      <c r="N1" s="590"/>
      <c r="O1" s="590"/>
      <c r="P1" s="590"/>
      <c r="Q1" s="591" t="s">
        <v>1</v>
      </c>
      <c r="R1" s="591"/>
      <c r="S1" s="591"/>
      <c r="T1" s="591"/>
      <c r="U1" s="591"/>
      <c r="V1" s="591"/>
      <c r="W1" s="591"/>
      <c r="X1" s="591"/>
      <c r="Y1" s="592" t="s">
        <v>2</v>
      </c>
      <c r="Z1" s="592"/>
      <c r="AA1" s="592"/>
      <c r="AB1" s="592"/>
      <c r="AC1" s="592"/>
      <c r="AD1" s="592"/>
      <c r="AF1" s="680"/>
      <c r="AG1" s="382" t="s">
        <v>208</v>
      </c>
      <c r="AH1" s="382"/>
      <c r="AI1" s="683"/>
      <c r="AJ1" s="2" t="s">
        <v>140</v>
      </c>
      <c r="AK1" s="2" t="s">
        <v>141</v>
      </c>
    </row>
    <row r="2" spans="1:38" ht="8.25" customHeight="1" thickBot="1">
      <c r="A2" s="679"/>
      <c r="B2" s="560"/>
      <c r="C2" s="560"/>
      <c r="D2" s="588"/>
      <c r="E2" s="589"/>
      <c r="F2" s="589"/>
      <c r="G2" s="589"/>
      <c r="H2" s="589"/>
      <c r="I2" s="589"/>
      <c r="J2" s="593" t="s">
        <v>3</v>
      </c>
      <c r="K2" s="594" t="s">
        <v>4</v>
      </c>
      <c r="L2" s="594"/>
      <c r="M2" s="594"/>
      <c r="N2" s="594"/>
      <c r="O2" s="594"/>
      <c r="P2" s="3" t="s">
        <v>5</v>
      </c>
      <c r="Q2" s="4" t="s">
        <v>6</v>
      </c>
      <c r="R2" s="595" t="s">
        <v>7</v>
      </c>
      <c r="S2" s="595" t="s">
        <v>8</v>
      </c>
      <c r="T2" s="596" t="s">
        <v>9</v>
      </c>
      <c r="U2" s="4" t="s">
        <v>6</v>
      </c>
      <c r="V2" s="595" t="s">
        <v>7</v>
      </c>
      <c r="W2" s="595" t="s">
        <v>8</v>
      </c>
      <c r="X2" s="596" t="s">
        <v>9</v>
      </c>
      <c r="Y2" s="4" t="s">
        <v>6</v>
      </c>
      <c r="Z2" s="686" t="s">
        <v>3</v>
      </c>
      <c r="AA2" s="5"/>
      <c r="AB2" s="585" t="s">
        <v>135</v>
      </c>
      <c r="AC2" s="6" t="s">
        <v>10</v>
      </c>
      <c r="AD2" s="7"/>
      <c r="AE2" s="562" t="s">
        <v>11</v>
      </c>
      <c r="AF2" s="681"/>
      <c r="AG2" s="687"/>
      <c r="AH2" s="687"/>
      <c r="AI2" s="684"/>
      <c r="AJ2" s="2" t="s">
        <v>98</v>
      </c>
      <c r="AK2" s="2" t="e">
        <f ca="1">VLOOKUP(I9,Daten!#REF!,2,FALSE)</f>
        <v>#REF!</v>
      </c>
    </row>
    <row r="3" spans="1:38" ht="8.25" customHeight="1" thickBot="1">
      <c r="A3" s="679"/>
      <c r="B3" s="560"/>
      <c r="C3" s="560"/>
      <c r="D3" s="588"/>
      <c r="E3" s="589"/>
      <c r="F3" s="589"/>
      <c r="G3" s="589"/>
      <c r="H3" s="589"/>
      <c r="I3" s="589"/>
      <c r="J3" s="593"/>
      <c r="K3" s="594"/>
      <c r="L3" s="594"/>
      <c r="M3" s="594"/>
      <c r="N3" s="594"/>
      <c r="O3" s="594"/>
      <c r="P3" s="3" t="s">
        <v>12</v>
      </c>
      <c r="Q3" s="8" t="s">
        <v>13</v>
      </c>
      <c r="R3" s="595"/>
      <c r="S3" s="595"/>
      <c r="T3" s="596"/>
      <c r="U3" s="8" t="s">
        <v>13</v>
      </c>
      <c r="V3" s="595"/>
      <c r="W3" s="595"/>
      <c r="X3" s="596"/>
      <c r="Y3" s="8" t="s">
        <v>13</v>
      </c>
      <c r="Z3" s="686"/>
      <c r="AA3" s="9" t="s">
        <v>14</v>
      </c>
      <c r="AB3" s="586"/>
      <c r="AC3" s="10" t="s">
        <v>15</v>
      </c>
      <c r="AD3" s="3" t="s">
        <v>16</v>
      </c>
      <c r="AE3" s="562"/>
      <c r="AF3" s="681"/>
      <c r="AG3" s="687"/>
      <c r="AH3" s="687"/>
      <c r="AI3" s="684"/>
      <c r="AJ3" s="2" t="s">
        <v>99</v>
      </c>
      <c r="AK3" s="2" t="e">
        <f ca="1">AK2*2</f>
        <v>#REF!</v>
      </c>
    </row>
    <row r="4" spans="1:38" ht="8.25" customHeight="1" thickBot="1">
      <c r="A4" s="679"/>
      <c r="B4" s="560"/>
      <c r="C4" s="560"/>
      <c r="D4" s="588"/>
      <c r="E4" s="589"/>
      <c r="F4" s="589"/>
      <c r="G4" s="589"/>
      <c r="H4" s="589"/>
      <c r="I4" s="589"/>
      <c r="J4" s="593"/>
      <c r="K4" s="594"/>
      <c r="L4" s="594"/>
      <c r="M4" s="594"/>
      <c r="N4" s="594"/>
      <c r="O4" s="594"/>
      <c r="P4" s="11" t="s">
        <v>17</v>
      </c>
      <c r="Q4" s="12" t="s">
        <v>18</v>
      </c>
      <c r="R4" s="595"/>
      <c r="S4" s="595"/>
      <c r="T4" s="596"/>
      <c r="U4" s="12" t="s">
        <v>18</v>
      </c>
      <c r="V4" s="595"/>
      <c r="W4" s="595"/>
      <c r="X4" s="596"/>
      <c r="Y4" s="12" t="s">
        <v>18</v>
      </c>
      <c r="Z4" s="686"/>
      <c r="AA4" s="13"/>
      <c r="AB4" s="587"/>
      <c r="AC4" s="14" t="s">
        <v>19</v>
      </c>
      <c r="AD4" s="15"/>
      <c r="AE4" s="562"/>
      <c r="AF4" s="681"/>
      <c r="AG4" s="687"/>
      <c r="AH4" s="687"/>
      <c r="AI4" s="684"/>
      <c r="AJ4" s="2" t="s">
        <v>100</v>
      </c>
      <c r="AK4" s="2" t="e">
        <f ca="1">AK2*3</f>
        <v>#REF!</v>
      </c>
    </row>
    <row r="5" spans="1:38" ht="12" customHeight="1" thickBot="1">
      <c r="A5" s="679"/>
      <c r="B5" s="560"/>
      <c r="C5" s="560"/>
      <c r="D5" s="588"/>
      <c r="E5" s="589"/>
      <c r="F5" s="589"/>
      <c r="G5" s="589"/>
      <c r="H5" s="589"/>
      <c r="I5" s="589"/>
      <c r="J5" s="142" t="str">
        <f ca="1">IF(INDIRECT($AJ$1&amp;"!A2")="","",INDIRECT($AJ$1&amp;"!A2"))</f>
        <v>Liga:</v>
      </c>
      <c r="K5" s="128" t="s">
        <v>20</v>
      </c>
      <c r="L5" s="574"/>
      <c r="M5" s="575"/>
      <c r="N5" s="575"/>
      <c r="O5" s="576"/>
      <c r="P5" s="139"/>
      <c r="Q5" s="130"/>
      <c r="R5" s="131"/>
      <c r="S5" s="131"/>
      <c r="T5" s="132" t="str">
        <f>IF(Q5="","",1)</f>
        <v/>
      </c>
      <c r="U5" s="130"/>
      <c r="V5" s="131"/>
      <c r="W5" s="131"/>
      <c r="X5" s="132" t="str">
        <f>IF(U5="","",T25+1)</f>
        <v/>
      </c>
      <c r="Y5" s="130"/>
      <c r="Z5" s="131"/>
      <c r="AA5" s="133"/>
      <c r="AB5" s="134">
        <f>IF(AA5="",0,VLOOKUP(AA5,Daten!$B$2:$C$11,2,FALSE))</f>
        <v>0</v>
      </c>
      <c r="AC5" s="135"/>
      <c r="AD5" s="136"/>
      <c r="AE5" s="16">
        <v>1</v>
      </c>
      <c r="AF5" s="681"/>
      <c r="AG5" s="687"/>
      <c r="AH5" s="687"/>
      <c r="AI5" s="684"/>
      <c r="AJ5" s="157" t="s">
        <v>101</v>
      </c>
      <c r="AK5" s="97" t="e">
        <f ca="1">AK4+VLOOKUP(I9,Daten!#REF!,4,FALSE)*VLOOKUP(I9,Daten!#REF!,5,FALSE)</f>
        <v>#REF!</v>
      </c>
    </row>
    <row r="6" spans="1:38" ht="12" customHeight="1" thickBot="1">
      <c r="A6" s="679"/>
      <c r="B6" s="560"/>
      <c r="C6" s="560"/>
      <c r="D6" s="588"/>
      <c r="E6" s="589"/>
      <c r="F6" s="589"/>
      <c r="G6" s="589"/>
      <c r="H6" s="589"/>
      <c r="I6" s="589"/>
      <c r="J6" s="142" t="str">
        <f ca="1">IF(INDIRECT($AJ$1&amp;"!A3")="","",INDIRECT($AJ$1&amp;"!A3"))</f>
        <v/>
      </c>
      <c r="K6" s="128" t="s">
        <v>8</v>
      </c>
      <c r="L6" s="574"/>
      <c r="M6" s="575"/>
      <c r="N6" s="575"/>
      <c r="O6" s="576"/>
      <c r="P6" s="139"/>
      <c r="Q6" s="130"/>
      <c r="R6" s="131"/>
      <c r="S6" s="131"/>
      <c r="T6" s="132" t="str">
        <f>IF(Q6="","",T5+1)</f>
        <v/>
      </c>
      <c r="U6" s="130"/>
      <c r="V6" s="131"/>
      <c r="W6" s="131"/>
      <c r="X6" s="132" t="str">
        <f>IF(U6="","",X5+1)</f>
        <v/>
      </c>
      <c r="Y6" s="130"/>
      <c r="Z6" s="131"/>
      <c r="AA6" s="137"/>
      <c r="AB6" s="134">
        <f>IF(AA6="",0,VLOOKUP(AA6,Daten!$B$2:$C$11,2,FALSE))</f>
        <v>0</v>
      </c>
      <c r="AC6" s="135"/>
      <c r="AD6" s="136"/>
      <c r="AE6" s="16">
        <v>2</v>
      </c>
      <c r="AF6" s="681"/>
      <c r="AG6" s="687"/>
      <c r="AH6" s="687"/>
      <c r="AI6" s="684"/>
      <c r="AJ6" s="157" t="s">
        <v>137</v>
      </c>
      <c r="AK6" s="97" t="e">
        <f ca="1">VLOOKUP(I9,Daten!#REF!,3,FALSE)</f>
        <v>#REF!</v>
      </c>
    </row>
    <row r="7" spans="1:38" ht="12" customHeight="1">
      <c r="A7" s="679"/>
      <c r="B7" s="560"/>
      <c r="C7" s="689"/>
      <c r="D7" s="693" t="s">
        <v>21</v>
      </c>
      <c r="E7" s="694"/>
      <c r="F7" s="694"/>
      <c r="G7" s="694"/>
      <c r="H7" s="695"/>
      <c r="I7" s="17" t="s">
        <v>22</v>
      </c>
      <c r="J7" s="142" t="str">
        <f ca="1">IF(INDIRECT($AJ$1&amp;"!A4")="","",INDIRECT($AJ$1&amp;"!A4"))</f>
        <v/>
      </c>
      <c r="K7" s="128" t="s">
        <v>7</v>
      </c>
      <c r="L7" s="158"/>
      <c r="M7" s="140"/>
      <c r="N7" s="140"/>
      <c r="O7" s="141"/>
      <c r="P7" s="139"/>
      <c r="Q7" s="130"/>
      <c r="R7" s="131"/>
      <c r="S7" s="131"/>
      <c r="T7" s="132" t="str">
        <f>IF(Q7="","",T6+1)</f>
        <v/>
      </c>
      <c r="U7" s="130"/>
      <c r="V7" s="131"/>
      <c r="W7" s="131"/>
      <c r="X7" s="132" t="str">
        <f t="shared" ref="X7:X22" si="0">IF(U7="","",X6+1)</f>
        <v/>
      </c>
      <c r="Y7" s="130"/>
      <c r="Z7" s="131"/>
      <c r="AA7" s="137"/>
      <c r="AB7" s="134">
        <f>IF(AA7="",0,VLOOKUP(AA7,Daten!$B$2:$C$11,2,FALSE))</f>
        <v>0</v>
      </c>
      <c r="AC7" s="135"/>
      <c r="AD7" s="136"/>
      <c r="AE7" s="16">
        <v>3</v>
      </c>
      <c r="AF7" s="681"/>
      <c r="AG7" s="687"/>
      <c r="AH7" s="687"/>
      <c r="AI7" s="684"/>
      <c r="AJ7" s="157"/>
      <c r="AK7" s="157"/>
    </row>
    <row r="8" spans="1:38" ht="12" customHeight="1" thickBot="1">
      <c r="A8" s="690"/>
      <c r="B8" s="691"/>
      <c r="C8" s="692"/>
      <c r="D8" s="696"/>
      <c r="E8" s="697"/>
      <c r="F8" s="697"/>
      <c r="G8" s="697"/>
      <c r="H8" s="698"/>
      <c r="I8" s="18" t="s">
        <v>23</v>
      </c>
      <c r="J8" s="142" t="str">
        <f ca="1">IF(INDIRECT($AJ$1&amp;"!A5")="","",INDIRECT($AJ$1&amp;"!A5"))</f>
        <v/>
      </c>
      <c r="K8" s="128" t="s">
        <v>7</v>
      </c>
      <c r="L8" s="158"/>
      <c r="M8" s="140"/>
      <c r="N8" s="140"/>
      <c r="O8" s="141"/>
      <c r="P8" s="139"/>
      <c r="Q8" s="130"/>
      <c r="R8" s="131"/>
      <c r="S8" s="131"/>
      <c r="T8" s="132" t="str">
        <f>IF(Q8="","",T7+1)</f>
        <v/>
      </c>
      <c r="U8" s="130"/>
      <c r="V8" s="131"/>
      <c r="W8" s="131"/>
      <c r="X8" s="132" t="str">
        <f t="shared" si="0"/>
        <v/>
      </c>
      <c r="Y8" s="130"/>
      <c r="Z8" s="131"/>
      <c r="AA8" s="137"/>
      <c r="AB8" s="134">
        <f>IF(AA8="",0,VLOOKUP(AA8,Daten!$B$2:$C$11,2,FALSE))</f>
        <v>0</v>
      </c>
      <c r="AC8" s="135"/>
      <c r="AD8" s="136"/>
      <c r="AE8" s="16">
        <v>4</v>
      </c>
      <c r="AF8" s="681"/>
      <c r="AG8" s="687"/>
      <c r="AH8" s="687"/>
      <c r="AI8" s="684"/>
      <c r="AJ8" s="560" t="s">
        <v>142</v>
      </c>
      <c r="AK8" s="560"/>
    </row>
    <row r="9" spans="1:38" ht="12" customHeight="1" thickBot="1">
      <c r="A9" s="699" t="s">
        <v>24</v>
      </c>
      <c r="B9" s="699"/>
      <c r="C9" s="699"/>
      <c r="D9" s="700">
        <f ca="1">IF(INDIRECT($AJ$1&amp;"!g1")="","",INDIRECT($AJ$1&amp;"!g1"))</f>
        <v>18</v>
      </c>
      <c r="E9" s="700"/>
      <c r="F9" s="700"/>
      <c r="G9" s="700"/>
      <c r="H9" s="700"/>
      <c r="I9" s="701" t="str">
        <f ca="1">IF(D9="","",SUBSTITUTE(INDIRECT(AJ1&amp;"!g2")," ",""))</f>
        <v/>
      </c>
      <c r="J9" s="142" t="str">
        <f ca="1">IF(INDIRECT($AJ$1&amp;"!A6")="","",INDIRECT($AJ$1&amp;"!A6"))</f>
        <v/>
      </c>
      <c r="K9" s="129" t="s">
        <v>25</v>
      </c>
      <c r="L9" s="574"/>
      <c r="M9" s="575"/>
      <c r="N9" s="575"/>
      <c r="O9" s="576"/>
      <c r="P9" s="139"/>
      <c r="Q9" s="130"/>
      <c r="R9" s="131"/>
      <c r="S9" s="131"/>
      <c r="T9" s="132" t="str">
        <f t="shared" ref="T9:T22" si="1">IF(Q9="","",T8+1)</f>
        <v/>
      </c>
      <c r="U9" s="130"/>
      <c r="V9" s="131"/>
      <c r="W9" s="131"/>
      <c r="X9" s="132" t="str">
        <f t="shared" si="0"/>
        <v/>
      </c>
      <c r="Y9" s="130"/>
      <c r="Z9" s="131"/>
      <c r="AA9" s="137"/>
      <c r="AB9" s="134">
        <f>IF(AA9="",0,VLOOKUP(AA9,Daten!$B$2:$C$11,2,FALSE))</f>
        <v>0</v>
      </c>
      <c r="AC9" s="135"/>
      <c r="AD9" s="136"/>
      <c r="AE9" s="16">
        <v>5</v>
      </c>
      <c r="AF9" s="681"/>
      <c r="AG9" s="687"/>
      <c r="AH9" s="687"/>
      <c r="AI9" s="684"/>
      <c r="AJ9" s="157" t="s">
        <v>143</v>
      </c>
      <c r="AK9" s="98" t="e">
        <f ca="1">IF(MAX(Q5:Q26)&gt;$AK$4,"WAHR","FALSCH")</f>
        <v>#REF!</v>
      </c>
      <c r="AL9" s="2">
        <f ca="1">_xlfn.IFNA(MATCH("WAHR",AK9:AK16,0),0)</f>
        <v>0</v>
      </c>
    </row>
    <row r="10" spans="1:38" ht="12" customHeight="1">
      <c r="A10" s="699"/>
      <c r="B10" s="699"/>
      <c r="C10" s="699"/>
      <c r="D10" s="700"/>
      <c r="E10" s="700"/>
      <c r="F10" s="700"/>
      <c r="G10" s="700"/>
      <c r="H10" s="700"/>
      <c r="I10" s="701"/>
      <c r="J10" s="142" t="str">
        <f ca="1">IF(INDIRECT($AJ$1&amp;"!A7")="","",INDIRECT($AJ$1&amp;"!A7"))</f>
        <v>Trikotnummer</v>
      </c>
      <c r="K10" s="129" t="s">
        <v>25</v>
      </c>
      <c r="L10" s="574"/>
      <c r="M10" s="575"/>
      <c r="N10" s="575"/>
      <c r="O10" s="576"/>
      <c r="P10" s="139"/>
      <c r="Q10" s="130"/>
      <c r="R10" s="131"/>
      <c r="S10" s="131"/>
      <c r="T10" s="132" t="str">
        <f t="shared" si="1"/>
        <v/>
      </c>
      <c r="U10" s="130"/>
      <c r="V10" s="131"/>
      <c r="W10" s="131"/>
      <c r="X10" s="132" t="str">
        <f t="shared" si="0"/>
        <v/>
      </c>
      <c r="Y10" s="130"/>
      <c r="Z10" s="131"/>
      <c r="AA10" s="137"/>
      <c r="AB10" s="134">
        <f>IF(AA10="",0,VLOOKUP(AA10,Daten!$B$2:$C$11,2,FALSE))</f>
        <v>0</v>
      </c>
      <c r="AC10" s="135"/>
      <c r="AD10" s="136"/>
      <c r="AE10" s="16">
        <v>6</v>
      </c>
      <c r="AF10" s="681"/>
      <c r="AG10" s="687"/>
      <c r="AH10" s="687"/>
      <c r="AI10" s="684"/>
      <c r="AJ10" s="157" t="s">
        <v>144</v>
      </c>
      <c r="AK10" s="98" t="e">
        <f ca="1">IF(MAX(U5:U24)&gt;$AK$4,"WAHR","FALSCH")</f>
        <v>#REF!</v>
      </c>
    </row>
    <row r="11" spans="1:38" ht="12" customHeight="1" thickBot="1">
      <c r="A11" s="702" t="s">
        <v>26</v>
      </c>
      <c r="B11" s="702"/>
      <c r="C11" s="702"/>
      <c r="D11" s="703">
        <f ca="1">IF(INDIRECT($AK$1&amp;"!g1")="","",INDIRECT($AK$1&amp;"!g1"))</f>
        <v>18</v>
      </c>
      <c r="E11" s="704"/>
      <c r="F11" s="704"/>
      <c r="G11" s="704"/>
      <c r="H11" s="705"/>
      <c r="I11" s="709" t="str">
        <f ca="1">IF(D11="","",SUBSTITUTE(INDIRECT(AK1&amp;"!g2")," ",""))</f>
        <v/>
      </c>
      <c r="J11" s="142">
        <f ca="1">IF(INDIRECT($AJ$1&amp;"!A8")="","",INDIRECT($AJ$1&amp;"!A8"))</f>
        <v>1</v>
      </c>
      <c r="K11" s="129" t="s">
        <v>25</v>
      </c>
      <c r="L11" s="574"/>
      <c r="M11" s="575"/>
      <c r="N11" s="575"/>
      <c r="O11" s="576"/>
      <c r="P11" s="139"/>
      <c r="Q11" s="130"/>
      <c r="R11" s="131"/>
      <c r="S11" s="131"/>
      <c r="T11" s="132" t="str">
        <f t="shared" si="1"/>
        <v/>
      </c>
      <c r="U11" s="130"/>
      <c r="V11" s="131"/>
      <c r="W11" s="131"/>
      <c r="X11" s="132" t="str">
        <f t="shared" si="0"/>
        <v/>
      </c>
      <c r="Y11" s="130"/>
      <c r="Z11" s="131"/>
      <c r="AA11" s="137"/>
      <c r="AB11" s="134">
        <f>IF(AA11="",0,VLOOKUP(AA11,Daten!$B$2:$C$11,2,FALSE))</f>
        <v>0</v>
      </c>
      <c r="AC11" s="135"/>
      <c r="AD11" s="136"/>
      <c r="AE11" s="16">
        <v>7</v>
      </c>
      <c r="AF11" s="681"/>
      <c r="AG11" s="687"/>
      <c r="AH11" s="687"/>
      <c r="AI11" s="684"/>
      <c r="AJ11" s="2" t="s">
        <v>148</v>
      </c>
      <c r="AK11" s="98" t="e">
        <f ca="1">IF(MAX(Y5:Y26)&gt;$AK$4,"WAHR","FALSCH")</f>
        <v>#REF!</v>
      </c>
    </row>
    <row r="12" spans="1:38" ht="12" customHeight="1" thickBot="1">
      <c r="A12" s="702"/>
      <c r="B12" s="702"/>
      <c r="C12" s="702"/>
      <c r="D12" s="706"/>
      <c r="E12" s="707"/>
      <c r="F12" s="707"/>
      <c r="G12" s="707"/>
      <c r="H12" s="708"/>
      <c r="I12" s="709"/>
      <c r="J12" s="142">
        <f ca="1">IF(INDIRECT($AJ$1&amp;"!A9")="","",INDIRECT($AJ$1&amp;"!A9"))</f>
        <v>2</v>
      </c>
      <c r="K12" s="129" t="s">
        <v>25</v>
      </c>
      <c r="L12" s="574"/>
      <c r="M12" s="575"/>
      <c r="N12" s="575"/>
      <c r="O12" s="576"/>
      <c r="P12" s="139"/>
      <c r="Q12" s="130"/>
      <c r="R12" s="131"/>
      <c r="S12" s="131"/>
      <c r="T12" s="132" t="str">
        <f t="shared" si="1"/>
        <v/>
      </c>
      <c r="U12" s="130"/>
      <c r="V12" s="131"/>
      <c r="W12" s="131"/>
      <c r="X12" s="132" t="str">
        <f t="shared" si="0"/>
        <v/>
      </c>
      <c r="Y12" s="130"/>
      <c r="Z12" s="131"/>
      <c r="AA12" s="137"/>
      <c r="AB12" s="134">
        <f>IF(AA12="",0,VLOOKUP(AA12,Daten!$B$2:$C$11,2,FALSE))</f>
        <v>0</v>
      </c>
      <c r="AC12" s="135"/>
      <c r="AD12" s="136"/>
      <c r="AE12" s="16">
        <v>8</v>
      </c>
      <c r="AF12" s="681"/>
      <c r="AG12" s="687"/>
      <c r="AH12" s="687"/>
      <c r="AI12" s="684"/>
      <c r="AJ12" s="2" t="s">
        <v>149</v>
      </c>
      <c r="AK12" s="98" t="e">
        <f ca="1">IF(MAX(AC5:AC26)&gt;$AK$4,"WAHR","FALSCH")</f>
        <v>#REF!</v>
      </c>
    </row>
    <row r="13" spans="1:38" ht="12" customHeight="1" thickBot="1">
      <c r="A13" s="599" t="s">
        <v>27</v>
      </c>
      <c r="B13" s="600"/>
      <c r="C13" s="601"/>
      <c r="D13" s="602" t="s">
        <v>207</v>
      </c>
      <c r="E13" s="602"/>
      <c r="F13" s="602"/>
      <c r="G13" s="61" t="s">
        <v>28</v>
      </c>
      <c r="H13" s="603">
        <f ca="1">TODAY()</f>
        <v>45373</v>
      </c>
      <c r="I13" s="603"/>
      <c r="J13" s="142">
        <f ca="1">IF(INDIRECT($AJ$1&amp;"!A10")="","",INDIRECT($AJ$1&amp;"!A10"))</f>
        <v>3</v>
      </c>
      <c r="K13" s="129" t="s">
        <v>25</v>
      </c>
      <c r="L13" s="574"/>
      <c r="M13" s="575"/>
      <c r="N13" s="575"/>
      <c r="O13" s="576"/>
      <c r="P13" s="139"/>
      <c r="Q13" s="130"/>
      <c r="R13" s="131"/>
      <c r="S13" s="131"/>
      <c r="T13" s="132" t="str">
        <f t="shared" si="1"/>
        <v/>
      </c>
      <c r="U13" s="130"/>
      <c r="V13" s="131"/>
      <c r="W13" s="131"/>
      <c r="X13" s="132" t="str">
        <f t="shared" si="0"/>
        <v/>
      </c>
      <c r="Y13" s="130"/>
      <c r="Z13" s="131"/>
      <c r="AA13" s="137"/>
      <c r="AB13" s="134">
        <f>IF(AA13="",0,VLOOKUP(AA13,Daten!$B$2:$C$11,2,FALSE))</f>
        <v>0</v>
      </c>
      <c r="AC13" s="135"/>
      <c r="AD13" s="136"/>
      <c r="AE13" s="16">
        <v>9</v>
      </c>
      <c r="AF13" s="681"/>
      <c r="AG13" s="687"/>
      <c r="AH13" s="687"/>
      <c r="AI13" s="684"/>
      <c r="AJ13" s="2" t="s">
        <v>145</v>
      </c>
      <c r="AK13" s="98" t="e">
        <f ca="1">IF(MAX(Q34:Q55)&gt;$AK$4,"WAHR","FALSCH")</f>
        <v>#REF!</v>
      </c>
    </row>
    <row r="14" spans="1:38" ht="12" customHeight="1">
      <c r="A14" s="577" t="s">
        <v>29</v>
      </c>
      <c r="B14" s="578"/>
      <c r="C14" s="579"/>
      <c r="D14" s="602"/>
      <c r="E14" s="602"/>
      <c r="F14" s="602"/>
      <c r="G14" s="62" t="s">
        <v>30</v>
      </c>
      <c r="H14" s="603"/>
      <c r="I14" s="603"/>
      <c r="J14" s="142">
        <f ca="1">IF(INDIRECT($AJ$1&amp;"!A11")="","",INDIRECT($AJ$1&amp;"!A11"))</f>
        <v>4</v>
      </c>
      <c r="K14" s="129" t="s">
        <v>25</v>
      </c>
      <c r="L14" s="574"/>
      <c r="M14" s="575"/>
      <c r="N14" s="575"/>
      <c r="O14" s="576"/>
      <c r="P14" s="139"/>
      <c r="Q14" s="130"/>
      <c r="R14" s="131"/>
      <c r="S14" s="131"/>
      <c r="T14" s="132" t="str">
        <f t="shared" si="1"/>
        <v/>
      </c>
      <c r="U14" s="130"/>
      <c r="V14" s="131"/>
      <c r="W14" s="131"/>
      <c r="X14" s="132" t="str">
        <f t="shared" si="0"/>
        <v/>
      </c>
      <c r="Y14" s="130"/>
      <c r="Z14" s="131"/>
      <c r="AA14" s="137"/>
      <c r="AB14" s="134">
        <f>IF(AA14="",0,VLOOKUP(AA14,Daten!$B$2:$C$11,2,FALSE))</f>
        <v>0</v>
      </c>
      <c r="AC14" s="135"/>
      <c r="AD14" s="136"/>
      <c r="AE14" s="16">
        <v>10</v>
      </c>
      <c r="AF14" s="681"/>
      <c r="AG14" s="687"/>
      <c r="AH14" s="687"/>
      <c r="AI14" s="684"/>
      <c r="AJ14" s="157" t="s">
        <v>146</v>
      </c>
      <c r="AK14" s="98" t="e">
        <f ca="1">IF(MAX(U34:U53)&gt;$AK$4,"WAHR","FALSCH")</f>
        <v>#REF!</v>
      </c>
    </row>
    <row r="15" spans="1:38" ht="12" customHeight="1">
      <c r="A15" s="19" t="s">
        <v>31</v>
      </c>
      <c r="B15" s="53"/>
      <c r="C15" s="582"/>
      <c r="D15" s="20" t="s">
        <v>32</v>
      </c>
      <c r="E15" s="20"/>
      <c r="F15" s="583"/>
      <c r="G15" s="63" t="s">
        <v>33</v>
      </c>
      <c r="H15" s="21"/>
      <c r="I15" s="584">
        <v>10</v>
      </c>
      <c r="J15" s="142">
        <f ca="1">IF(INDIRECT($AJ$1&amp;"!A12")="","",INDIRECT($AJ$1&amp;"!A12"))</f>
        <v>5</v>
      </c>
      <c r="K15" s="129" t="s">
        <v>25</v>
      </c>
      <c r="L15" s="574"/>
      <c r="M15" s="575"/>
      <c r="N15" s="575"/>
      <c r="O15" s="576"/>
      <c r="P15" s="139"/>
      <c r="Q15" s="130"/>
      <c r="R15" s="131"/>
      <c r="S15" s="131"/>
      <c r="T15" s="132" t="str">
        <f t="shared" si="1"/>
        <v/>
      </c>
      <c r="U15" s="130"/>
      <c r="V15" s="131"/>
      <c r="W15" s="131"/>
      <c r="X15" s="132" t="str">
        <f t="shared" si="0"/>
        <v/>
      </c>
      <c r="Y15" s="130"/>
      <c r="Z15" s="131"/>
      <c r="AA15" s="137"/>
      <c r="AB15" s="134">
        <f>IF(AA15="",0,VLOOKUP(AA15,Daten!$B$2:$C$11,2,FALSE))</f>
        <v>0</v>
      </c>
      <c r="AC15" s="135"/>
      <c r="AD15" s="136"/>
      <c r="AE15" s="16">
        <v>11</v>
      </c>
      <c r="AF15" s="681"/>
      <c r="AG15" s="687"/>
      <c r="AH15" s="687"/>
      <c r="AI15" s="684"/>
      <c r="AJ15" s="157" t="s">
        <v>147</v>
      </c>
      <c r="AK15" s="98" t="e">
        <f ca="1">IF(MAX(Y34:Y55)&gt;$AK$4,"WAHR","FALSCH")</f>
        <v>#REF!</v>
      </c>
    </row>
    <row r="16" spans="1:38" ht="12" customHeight="1">
      <c r="A16" s="22" t="s">
        <v>34</v>
      </c>
      <c r="B16" s="54"/>
      <c r="C16" s="582"/>
      <c r="D16" s="23" t="s">
        <v>19</v>
      </c>
      <c r="E16" s="23"/>
      <c r="F16" s="583"/>
      <c r="G16" s="64" t="s">
        <v>35</v>
      </c>
      <c r="H16" s="24"/>
      <c r="I16" s="584"/>
      <c r="J16" s="142">
        <f ca="1">IF(INDIRECT($AJ$1&amp;"!A13")="","",INDIRECT($AJ$1&amp;"!A13"))</f>
        <v>6</v>
      </c>
      <c r="K16" s="129" t="s">
        <v>25</v>
      </c>
      <c r="L16" s="574"/>
      <c r="M16" s="575"/>
      <c r="N16" s="575"/>
      <c r="O16" s="576"/>
      <c r="P16" s="139"/>
      <c r="Q16" s="130"/>
      <c r="R16" s="131"/>
      <c r="S16" s="131"/>
      <c r="T16" s="132" t="str">
        <f t="shared" si="1"/>
        <v/>
      </c>
      <c r="U16" s="130"/>
      <c r="V16" s="131"/>
      <c r="W16" s="131"/>
      <c r="X16" s="132" t="str">
        <f t="shared" si="0"/>
        <v/>
      </c>
      <c r="Y16" s="130"/>
      <c r="Z16" s="131"/>
      <c r="AA16" s="137"/>
      <c r="AB16" s="134">
        <f>IF(AA16="",0,VLOOKUP(AA16,Daten!$B$2:$C$11,2,FALSE))</f>
        <v>0</v>
      </c>
      <c r="AC16" s="135"/>
      <c r="AD16" s="136"/>
      <c r="AE16" s="16">
        <v>12</v>
      </c>
      <c r="AF16" s="681"/>
      <c r="AG16" s="687"/>
      <c r="AH16" s="687"/>
      <c r="AI16" s="684"/>
      <c r="AJ16" s="157" t="s">
        <v>150</v>
      </c>
      <c r="AK16" s="98" t="e">
        <f ca="1">IF(MAX(AC34:AC55)&gt;$AK$4,"WAHR","FALSCH")</f>
        <v>#REF!</v>
      </c>
    </row>
    <row r="17" spans="1:39" ht="12" customHeight="1">
      <c r="A17" s="25" t="s">
        <v>36</v>
      </c>
      <c r="B17" s="55"/>
      <c r="C17" s="26"/>
      <c r="D17" s="27"/>
      <c r="E17" s="27"/>
      <c r="F17" s="143"/>
      <c r="G17" s="28" t="s">
        <v>37</v>
      </c>
      <c r="H17" s="29"/>
      <c r="I17" s="143"/>
      <c r="J17" s="142">
        <f ca="1">IF(INDIRECT($AJ$1&amp;"!A14")="","",INDIRECT($AJ$1&amp;"!A14"))</f>
        <v>7</v>
      </c>
      <c r="K17" s="129" t="s">
        <v>25</v>
      </c>
      <c r="L17" s="574"/>
      <c r="M17" s="575"/>
      <c r="N17" s="575"/>
      <c r="O17" s="576"/>
      <c r="P17" s="139"/>
      <c r="Q17" s="130"/>
      <c r="R17" s="131"/>
      <c r="S17" s="131"/>
      <c r="T17" s="132" t="str">
        <f t="shared" si="1"/>
        <v/>
      </c>
      <c r="U17" s="130"/>
      <c r="V17" s="131"/>
      <c r="W17" s="131"/>
      <c r="X17" s="132" t="str">
        <f t="shared" si="0"/>
        <v/>
      </c>
      <c r="Y17" s="130"/>
      <c r="Z17" s="131"/>
      <c r="AA17" s="137"/>
      <c r="AB17" s="134">
        <f>IF(AA17="",0,VLOOKUP(AA17,Daten!$B$2:$C$11,2,FALSE))</f>
        <v>0</v>
      </c>
      <c r="AC17" s="135"/>
      <c r="AD17" s="136"/>
      <c r="AE17" s="16">
        <v>13</v>
      </c>
      <c r="AF17" s="681"/>
      <c r="AG17" s="687"/>
      <c r="AH17" s="687"/>
      <c r="AI17" s="684"/>
      <c r="AJ17" s="157"/>
      <c r="AK17" s="157"/>
    </row>
    <row r="18" spans="1:39" ht="12" customHeight="1">
      <c r="A18" s="30" t="s">
        <v>38</v>
      </c>
      <c r="B18" s="56"/>
      <c r="C18" s="31"/>
      <c r="D18" s="32"/>
      <c r="E18" s="27"/>
      <c r="F18" s="143"/>
      <c r="G18" s="33" t="s">
        <v>39</v>
      </c>
      <c r="H18" s="34"/>
      <c r="I18" s="143"/>
      <c r="J18" s="142">
        <f ca="1">IF(INDIRECT($AJ$1&amp;"!A15")="","",INDIRECT($AJ$1&amp;"!A15"))</f>
        <v>8</v>
      </c>
      <c r="K18" s="129" t="s">
        <v>25</v>
      </c>
      <c r="L18" s="574"/>
      <c r="M18" s="575"/>
      <c r="N18" s="575"/>
      <c r="O18" s="576"/>
      <c r="P18" s="139"/>
      <c r="Q18" s="130"/>
      <c r="R18" s="131"/>
      <c r="S18" s="131"/>
      <c r="T18" s="132" t="str">
        <f t="shared" si="1"/>
        <v/>
      </c>
      <c r="U18" s="130"/>
      <c r="V18" s="131"/>
      <c r="W18" s="131"/>
      <c r="X18" s="132" t="str">
        <f t="shared" si="0"/>
        <v/>
      </c>
      <c r="Y18" s="130"/>
      <c r="Z18" s="131"/>
      <c r="AA18" s="137"/>
      <c r="AB18" s="134">
        <f>IF(AA18="",0,VLOOKUP(AA18,Daten!$B$2:$C$11,2,FALSE))</f>
        <v>0</v>
      </c>
      <c r="AC18" s="135"/>
      <c r="AD18" s="136"/>
      <c r="AE18" s="16">
        <v>14</v>
      </c>
      <c r="AF18" s="681"/>
      <c r="AG18" s="687"/>
      <c r="AH18" s="687"/>
      <c r="AI18" s="684"/>
      <c r="AJ18" s="560" t="s">
        <v>151</v>
      </c>
      <c r="AK18" s="560"/>
    </row>
    <row r="19" spans="1:39" ht="12" customHeight="1" thickBot="1">
      <c r="A19" s="35" t="s">
        <v>40</v>
      </c>
      <c r="B19" s="36"/>
      <c r="C19" s="36"/>
      <c r="D19" s="37"/>
      <c r="E19" s="37"/>
      <c r="F19" s="144"/>
      <c r="G19" s="65" t="s">
        <v>41</v>
      </c>
      <c r="H19" s="38"/>
      <c r="I19" s="119"/>
      <c r="J19" s="142">
        <f ca="1">IF(INDIRECT($AJ$1&amp;"!A16")="","",INDIRECT($AJ$1&amp;"!A16"))</f>
        <v>9</v>
      </c>
      <c r="K19" s="129" t="s">
        <v>25</v>
      </c>
      <c r="L19" s="574"/>
      <c r="M19" s="575"/>
      <c r="N19" s="575"/>
      <c r="O19" s="576"/>
      <c r="P19" s="139"/>
      <c r="Q19" s="130"/>
      <c r="R19" s="131"/>
      <c r="S19" s="131"/>
      <c r="T19" s="132" t="str">
        <f t="shared" si="1"/>
        <v/>
      </c>
      <c r="U19" s="130"/>
      <c r="V19" s="131"/>
      <c r="W19" s="131"/>
      <c r="X19" s="132" t="str">
        <f t="shared" si="0"/>
        <v/>
      </c>
      <c r="Y19" s="130"/>
      <c r="Z19" s="131"/>
      <c r="AA19" s="137"/>
      <c r="AB19" s="134">
        <f>IF(AA19="",0,VLOOKUP(AA19,Daten!$B$2:$C$11,2,FALSE))</f>
        <v>0</v>
      </c>
      <c r="AC19" s="135"/>
      <c r="AD19" s="136"/>
      <c r="AE19" s="16">
        <v>15</v>
      </c>
      <c r="AF19" s="681"/>
      <c r="AG19" s="687"/>
      <c r="AH19" s="687"/>
      <c r="AI19" s="684"/>
      <c r="AJ19" s="157" t="s">
        <v>143</v>
      </c>
      <c r="AK19" s="99">
        <f>_xlfn.IFNA(VLOOKUP("GWG",Q5:Q26,1,FALSE),0)</f>
        <v>0</v>
      </c>
      <c r="AL19" s="2" t="str">
        <f>_xlfn.IFNA(MATCH("GWG",AK19:AK20,0),"0")</f>
        <v>0</v>
      </c>
      <c r="AM19" s="2" t="str">
        <f>_xlfn.IFNA(MATCH("GWG",AK19:AK22,0),"0")</f>
        <v>0</v>
      </c>
    </row>
    <row r="20" spans="1:39" ht="12" customHeight="1">
      <c r="A20" s="580"/>
      <c r="B20" s="155"/>
      <c r="C20" s="66" t="s">
        <v>42</v>
      </c>
      <c r="D20" s="67"/>
      <c r="E20" s="67"/>
      <c r="F20" s="68" t="s">
        <v>43</v>
      </c>
      <c r="G20" s="68" t="s">
        <v>44</v>
      </c>
      <c r="H20" s="66" t="s">
        <v>45</v>
      </c>
      <c r="I20" s="69"/>
      <c r="J20" s="142">
        <f ca="1">IF(INDIRECT($AJ$1&amp;"!A17")="","",INDIRECT($AJ$1&amp;"!A17"))</f>
        <v>10</v>
      </c>
      <c r="K20" s="129" t="s">
        <v>25</v>
      </c>
      <c r="L20" s="574"/>
      <c r="M20" s="575"/>
      <c r="N20" s="575"/>
      <c r="O20" s="576"/>
      <c r="P20" s="139"/>
      <c r="Q20" s="130"/>
      <c r="R20" s="131"/>
      <c r="S20" s="131"/>
      <c r="T20" s="132" t="str">
        <f t="shared" si="1"/>
        <v/>
      </c>
      <c r="U20" s="130"/>
      <c r="V20" s="131"/>
      <c r="W20" s="131"/>
      <c r="X20" s="132" t="str">
        <f t="shared" si="0"/>
        <v/>
      </c>
      <c r="Y20" s="130"/>
      <c r="Z20" s="131"/>
      <c r="AA20" s="137"/>
      <c r="AB20" s="134">
        <f>IF(AA20="",0,VLOOKUP(AA20,Daten!$B$2:$C$11,2,FALSE))</f>
        <v>0</v>
      </c>
      <c r="AC20" s="135"/>
      <c r="AD20" s="136"/>
      <c r="AE20" s="16">
        <v>16</v>
      </c>
      <c r="AF20" s="681"/>
      <c r="AG20" s="687"/>
      <c r="AH20" s="687"/>
      <c r="AI20" s="684"/>
      <c r="AJ20" s="157" t="s">
        <v>144</v>
      </c>
      <c r="AK20" s="99">
        <f>_xlfn.IFNA(VLOOKUP("GWG",U5:U24,1,FALSE),0)</f>
        <v>0</v>
      </c>
    </row>
    <row r="21" spans="1:39" ht="12" customHeight="1">
      <c r="A21" s="581"/>
      <c r="B21" s="70"/>
      <c r="C21" s="23" t="s">
        <v>12</v>
      </c>
      <c r="D21" s="71"/>
      <c r="E21" s="71"/>
      <c r="F21" s="72" t="s">
        <v>46</v>
      </c>
      <c r="G21" s="72" t="s">
        <v>47</v>
      </c>
      <c r="H21" s="23" t="s">
        <v>48</v>
      </c>
      <c r="I21" s="73"/>
      <c r="J21" s="142">
        <f ca="1">IF(INDIRECT($AJ$1&amp;"!A18")="","",INDIRECT($AJ$1&amp;"!A18"))</f>
        <v>11</v>
      </c>
      <c r="K21" s="129" t="s">
        <v>25</v>
      </c>
      <c r="L21" s="574"/>
      <c r="M21" s="575"/>
      <c r="N21" s="575"/>
      <c r="O21" s="576"/>
      <c r="P21" s="139"/>
      <c r="Q21" s="130"/>
      <c r="R21" s="131"/>
      <c r="S21" s="131"/>
      <c r="T21" s="132" t="str">
        <f t="shared" si="1"/>
        <v/>
      </c>
      <c r="U21" s="130"/>
      <c r="V21" s="131"/>
      <c r="W21" s="131"/>
      <c r="X21" s="132" t="str">
        <f t="shared" si="0"/>
        <v/>
      </c>
      <c r="Y21" s="130"/>
      <c r="Z21" s="131"/>
      <c r="AA21" s="137"/>
      <c r="AB21" s="134">
        <f>IF(AA21="",0,VLOOKUP(AA21,Daten!$B$2:$C$11,2,FALSE))</f>
        <v>0</v>
      </c>
      <c r="AC21" s="135"/>
      <c r="AD21" s="136"/>
      <c r="AE21" s="16">
        <v>17</v>
      </c>
      <c r="AF21" s="681"/>
      <c r="AG21" s="687"/>
      <c r="AH21" s="687"/>
      <c r="AI21" s="684"/>
      <c r="AJ21" s="2" t="s">
        <v>145</v>
      </c>
      <c r="AK21" s="99">
        <f>_xlfn.IFNA(VLOOKUP("GWG",Q34:Q55,1,FALSE),0)</f>
        <v>0</v>
      </c>
      <c r="AL21" s="2" t="str">
        <f>_xlfn.IFNA(MATCH("GWG",AK21:AK22,0),"0")</f>
        <v>0</v>
      </c>
    </row>
    <row r="22" spans="1:39" ht="12" customHeight="1" thickBot="1">
      <c r="A22" s="74" t="s">
        <v>49</v>
      </c>
      <c r="B22" s="75"/>
      <c r="C22" s="649"/>
      <c r="D22" s="649"/>
      <c r="E22" s="138"/>
      <c r="F22" s="608"/>
      <c r="G22" s="608"/>
      <c r="H22" s="609"/>
      <c r="I22" s="609"/>
      <c r="J22" s="142">
        <f ca="1">IF(INDIRECT($AJ$1&amp;"!A19")="","",INDIRECT($AJ$1&amp;"!A19"))</f>
        <v>12</v>
      </c>
      <c r="K22" s="129" t="s">
        <v>25</v>
      </c>
      <c r="L22" s="610"/>
      <c r="M22" s="611"/>
      <c r="N22" s="611"/>
      <c r="O22" s="612"/>
      <c r="P22" s="139"/>
      <c r="Q22" s="130"/>
      <c r="R22" s="131"/>
      <c r="S22" s="131"/>
      <c r="T22" s="132" t="str">
        <f t="shared" si="1"/>
        <v/>
      </c>
      <c r="U22" s="130"/>
      <c r="V22" s="131"/>
      <c r="W22" s="131"/>
      <c r="X22" s="132" t="str">
        <f t="shared" si="0"/>
        <v/>
      </c>
      <c r="Y22" s="130"/>
      <c r="Z22" s="131"/>
      <c r="AA22" s="137"/>
      <c r="AB22" s="134">
        <f>IF(AA22="",0,VLOOKUP(AA22,Daten!$B$2:$C$11,2,FALSE))</f>
        <v>0</v>
      </c>
      <c r="AC22" s="135"/>
      <c r="AD22" s="136"/>
      <c r="AE22" s="16">
        <v>18</v>
      </c>
      <c r="AF22" s="681"/>
      <c r="AG22" s="687"/>
      <c r="AH22" s="687"/>
      <c r="AI22" s="684"/>
      <c r="AJ22" s="157" t="s">
        <v>146</v>
      </c>
      <c r="AK22" s="99">
        <f>_xlfn.IFNA(VLOOKUP("GWG",U34:U53,1,FALSE),0)</f>
        <v>0</v>
      </c>
    </row>
    <row r="23" spans="1:39" ht="6" customHeight="1" thickBot="1">
      <c r="A23" s="76" t="s">
        <v>50</v>
      </c>
      <c r="B23" s="77"/>
      <c r="C23" s="649"/>
      <c r="D23" s="649"/>
      <c r="E23" s="138"/>
      <c r="F23" s="608"/>
      <c r="G23" s="608"/>
      <c r="H23" s="609"/>
      <c r="I23" s="609"/>
      <c r="J23" s="613" t="s">
        <v>51</v>
      </c>
      <c r="K23" s="614"/>
      <c r="L23" s="619" t="s">
        <v>52</v>
      </c>
      <c r="M23" s="620" t="s">
        <v>45</v>
      </c>
      <c r="N23" s="620"/>
      <c r="O23" s="620"/>
      <c r="P23" s="630" t="str">
        <f ca="1">IF(INDIRECT($AJ$1&amp;"!g3")="","",INDIRECT($AJ$1&amp;"!g3"))</f>
        <v/>
      </c>
      <c r="Q23" s="633"/>
      <c r="R23" s="635"/>
      <c r="S23" s="635"/>
      <c r="T23" s="637" t="str">
        <f>IF(Q23="","",T22+1)</f>
        <v/>
      </c>
      <c r="U23" s="633"/>
      <c r="V23" s="635"/>
      <c r="W23" s="635"/>
      <c r="X23" s="637" t="str">
        <f>IF(U23="","",X22+1)</f>
        <v/>
      </c>
      <c r="Y23" s="633"/>
      <c r="Z23" s="635"/>
      <c r="AA23" s="604"/>
      <c r="AB23" s="606">
        <f>IF(AA23="",0,VLOOKUP(AA23,Daten!$B$2:$C$11,2,FALSE))</f>
        <v>0</v>
      </c>
      <c r="AC23" s="643"/>
      <c r="AD23" s="597"/>
      <c r="AE23" s="561">
        <v>19</v>
      </c>
      <c r="AF23" s="682"/>
      <c r="AG23" s="688"/>
      <c r="AH23" s="688"/>
      <c r="AI23" s="685"/>
    </row>
    <row r="24" spans="1:39" ht="6" customHeight="1" thickBot="1">
      <c r="A24" s="78" t="s">
        <v>53</v>
      </c>
      <c r="B24" s="27"/>
      <c r="C24" s="649"/>
      <c r="D24" s="649"/>
      <c r="E24" s="138"/>
      <c r="F24" s="608"/>
      <c r="G24" s="608"/>
      <c r="H24" s="609"/>
      <c r="I24" s="609"/>
      <c r="J24" s="615"/>
      <c r="K24" s="616"/>
      <c r="L24" s="619"/>
      <c r="M24" s="621" t="s">
        <v>54</v>
      </c>
      <c r="N24" s="621"/>
      <c r="O24" s="621"/>
      <c r="P24" s="631"/>
      <c r="Q24" s="634"/>
      <c r="R24" s="647"/>
      <c r="S24" s="647"/>
      <c r="T24" s="648"/>
      <c r="U24" s="634"/>
      <c r="V24" s="647"/>
      <c r="W24" s="636"/>
      <c r="X24" s="638"/>
      <c r="Y24" s="634"/>
      <c r="Z24" s="647"/>
      <c r="AA24" s="605"/>
      <c r="AB24" s="607">
        <f>IF(AA24="",0,VLOOKUP(AA24,Daten!$B$2:$C$11,2,FALSE))</f>
        <v>0</v>
      </c>
      <c r="AC24" s="646"/>
      <c r="AD24" s="676"/>
      <c r="AE24" s="561"/>
      <c r="AF24" s="146"/>
      <c r="AG24" s="148"/>
      <c r="AH24" s="148"/>
      <c r="AI24" s="148"/>
    </row>
    <row r="25" spans="1:39" ht="6" customHeight="1" thickBot="1">
      <c r="A25" s="74" t="s">
        <v>55</v>
      </c>
      <c r="B25" s="75"/>
      <c r="C25" s="649"/>
      <c r="D25" s="649"/>
      <c r="E25" s="138"/>
      <c r="F25" s="608"/>
      <c r="G25" s="608"/>
      <c r="H25" s="609"/>
      <c r="I25" s="609"/>
      <c r="J25" s="615"/>
      <c r="K25" s="616"/>
      <c r="L25" s="619"/>
      <c r="M25" s="622" t="s">
        <v>56</v>
      </c>
      <c r="N25" s="622"/>
      <c r="O25" s="622"/>
      <c r="P25" s="632"/>
      <c r="Q25" s="633"/>
      <c r="R25" s="635"/>
      <c r="S25" s="635"/>
      <c r="T25" s="637" t="str">
        <f>IF(Q25="","",T23+1)</f>
        <v/>
      </c>
      <c r="U25" s="645" t="s">
        <v>57</v>
      </c>
      <c r="V25" s="645"/>
      <c r="W25" s="639">
        <f>COUNT($T$5:$T$26,$X$5:$X$24)</f>
        <v>0</v>
      </c>
      <c r="X25" s="639">
        <f>COUNTA($T$5:$T$26,$X$5:$X$24)</f>
        <v>39</v>
      </c>
      <c r="Y25" s="633"/>
      <c r="Z25" s="635"/>
      <c r="AA25" s="604"/>
      <c r="AB25" s="606">
        <f>IF(AA25="",0,VLOOKUP(AA25,Daten!$B$2:$C$11,2,FALSE))</f>
        <v>0</v>
      </c>
      <c r="AC25" s="643"/>
      <c r="AD25" s="597"/>
      <c r="AE25" s="561">
        <v>20</v>
      </c>
      <c r="AF25" s="147"/>
      <c r="AG25" s="149"/>
      <c r="AH25" s="149"/>
      <c r="AI25" s="149"/>
    </row>
    <row r="26" spans="1:39" ht="6" customHeight="1" thickBot="1">
      <c r="A26" s="76" t="s">
        <v>58</v>
      </c>
      <c r="B26" s="77"/>
      <c r="C26" s="649"/>
      <c r="D26" s="649"/>
      <c r="E26" s="138"/>
      <c r="F26" s="608"/>
      <c r="G26" s="608"/>
      <c r="H26" s="609"/>
      <c r="I26" s="609"/>
      <c r="J26" s="615"/>
      <c r="K26" s="616"/>
      <c r="L26" s="623"/>
      <c r="M26" s="624"/>
      <c r="N26" s="625"/>
      <c r="O26" s="625"/>
      <c r="P26" s="626"/>
      <c r="Q26" s="640"/>
      <c r="R26" s="636"/>
      <c r="S26" s="636"/>
      <c r="T26" s="638"/>
      <c r="U26" s="645"/>
      <c r="V26" s="645"/>
      <c r="W26" s="639">
        <f>COUNTA($T$5:$T$26,$X$5:$X$24)</f>
        <v>39</v>
      </c>
      <c r="X26" s="639">
        <f>COUNTA($T$5:$T$26,$X$5:$X$24)</f>
        <v>39</v>
      </c>
      <c r="Y26" s="640"/>
      <c r="Z26" s="636"/>
      <c r="AA26" s="641"/>
      <c r="AB26" s="642">
        <f>IF(AA26="",0,VLOOKUP(AA26,Daten!$B$2:$C$11,2,FALSE))</f>
        <v>0</v>
      </c>
      <c r="AC26" s="644"/>
      <c r="AD26" s="598"/>
      <c r="AE26" s="561"/>
      <c r="AF26" s="147"/>
      <c r="AG26" s="149"/>
      <c r="AH26" s="149"/>
      <c r="AI26" s="149"/>
    </row>
    <row r="27" spans="1:39" ht="12" customHeight="1" thickBot="1">
      <c r="A27" s="79" t="s">
        <v>59</v>
      </c>
      <c r="B27" s="80"/>
      <c r="C27" s="649"/>
      <c r="D27" s="649"/>
      <c r="E27" s="138"/>
      <c r="F27" s="608"/>
      <c r="G27" s="608"/>
      <c r="H27" s="609"/>
      <c r="I27" s="609"/>
      <c r="J27" s="617"/>
      <c r="K27" s="618"/>
      <c r="L27" s="623"/>
      <c r="M27" s="627"/>
      <c r="N27" s="628"/>
      <c r="O27" s="628"/>
      <c r="P27" s="629"/>
      <c r="Q27" s="592" t="s">
        <v>60</v>
      </c>
      <c r="R27" s="592"/>
      <c r="S27" s="592"/>
      <c r="T27" s="592"/>
      <c r="U27" s="121"/>
      <c r="V27" s="122"/>
      <c r="W27" s="122"/>
      <c r="X27" s="123"/>
      <c r="Y27" s="592" t="s">
        <v>57</v>
      </c>
      <c r="Z27" s="592"/>
      <c r="AA27" s="592"/>
      <c r="AB27" s="81"/>
      <c r="AC27" s="90">
        <f>SUM(AB5:AB22)+AB23+AB25</f>
        <v>0</v>
      </c>
      <c r="AD27" s="82" t="s">
        <v>61</v>
      </c>
    </row>
    <row r="28" spans="1:39" ht="8.25" customHeight="1" thickBot="1">
      <c r="A28" s="76" t="s">
        <v>62</v>
      </c>
      <c r="B28" s="77"/>
      <c r="C28" s="649"/>
      <c r="D28" s="649"/>
      <c r="E28" s="138"/>
      <c r="F28" s="608"/>
      <c r="G28" s="608"/>
      <c r="H28" s="609"/>
      <c r="I28" s="609"/>
      <c r="J28" s="650">
        <v>2</v>
      </c>
      <c r="K28" s="651">
        <f ca="1">D11</f>
        <v>18</v>
      </c>
      <c r="L28" s="651"/>
      <c r="M28" s="651"/>
      <c r="N28" s="651"/>
      <c r="O28" s="651"/>
      <c r="P28" s="651"/>
      <c r="Q28" s="591" t="s">
        <v>1</v>
      </c>
      <c r="R28" s="591"/>
      <c r="S28" s="591"/>
      <c r="T28" s="591"/>
      <c r="U28" s="591"/>
      <c r="V28" s="591"/>
      <c r="W28" s="591"/>
      <c r="X28" s="591"/>
      <c r="Y28" s="592" t="s">
        <v>2</v>
      </c>
      <c r="Z28" s="592"/>
      <c r="AA28" s="592"/>
      <c r="AB28" s="592"/>
      <c r="AC28" s="592"/>
      <c r="AD28" s="592"/>
    </row>
    <row r="29" spans="1:39" ht="8.25" customHeight="1" thickBot="1">
      <c r="A29" s="76" t="s">
        <v>63</v>
      </c>
      <c r="B29" s="77"/>
      <c r="C29" s="649"/>
      <c r="D29" s="649"/>
      <c r="E29" s="138"/>
      <c r="F29" s="608"/>
      <c r="G29" s="608"/>
      <c r="H29" s="609"/>
      <c r="I29" s="609"/>
      <c r="J29" s="650"/>
      <c r="K29" s="651"/>
      <c r="L29" s="651"/>
      <c r="M29" s="651"/>
      <c r="N29" s="651"/>
      <c r="O29" s="651"/>
      <c r="P29" s="651"/>
      <c r="Q29" s="591"/>
      <c r="R29" s="591"/>
      <c r="S29" s="591"/>
      <c r="T29" s="591"/>
      <c r="U29" s="591"/>
      <c r="V29" s="591"/>
      <c r="W29" s="591"/>
      <c r="X29" s="591"/>
      <c r="Y29" s="592"/>
      <c r="Z29" s="592"/>
      <c r="AA29" s="592"/>
      <c r="AB29" s="592"/>
      <c r="AC29" s="592"/>
      <c r="AD29" s="592"/>
    </row>
    <row r="30" spans="1:39" ht="8.25" customHeight="1" thickBot="1">
      <c r="A30" s="79" t="s">
        <v>64</v>
      </c>
      <c r="B30" s="80"/>
      <c r="C30" s="649"/>
      <c r="D30" s="649"/>
      <c r="E30" s="138"/>
      <c r="F30" s="608"/>
      <c r="G30" s="608"/>
      <c r="H30" s="609"/>
      <c r="I30" s="609"/>
      <c r="J30" s="650"/>
      <c r="K30" s="651"/>
      <c r="L30" s="651"/>
      <c r="M30" s="651"/>
      <c r="N30" s="651"/>
      <c r="O30" s="651"/>
      <c r="P30" s="651"/>
      <c r="Q30" s="591"/>
      <c r="R30" s="591"/>
      <c r="S30" s="591"/>
      <c r="T30" s="591"/>
      <c r="U30" s="591"/>
      <c r="V30" s="591"/>
      <c r="W30" s="591"/>
      <c r="X30" s="591"/>
      <c r="Y30" s="592"/>
      <c r="Z30" s="592"/>
      <c r="AA30" s="592"/>
      <c r="AB30" s="592"/>
      <c r="AC30" s="592"/>
      <c r="AD30" s="592"/>
    </row>
    <row r="31" spans="1:39" ht="8.25" customHeight="1" thickBot="1">
      <c r="A31" s="76" t="s">
        <v>62</v>
      </c>
      <c r="B31" s="77"/>
      <c r="C31" s="649"/>
      <c r="D31" s="649"/>
      <c r="E31" s="138"/>
      <c r="F31" s="608"/>
      <c r="G31" s="608"/>
      <c r="H31" s="609"/>
      <c r="I31" s="609"/>
      <c r="J31" s="593" t="s">
        <v>3</v>
      </c>
      <c r="K31" s="594" t="s">
        <v>4</v>
      </c>
      <c r="L31" s="594"/>
      <c r="M31" s="594"/>
      <c r="N31" s="594"/>
      <c r="O31" s="594"/>
      <c r="P31" s="3" t="s">
        <v>5</v>
      </c>
      <c r="Q31" s="8" t="s">
        <v>6</v>
      </c>
      <c r="R31" s="653" t="s">
        <v>7</v>
      </c>
      <c r="S31" s="653" t="s">
        <v>8</v>
      </c>
      <c r="T31" s="652" t="s">
        <v>9</v>
      </c>
      <c r="U31" s="8" t="s">
        <v>6</v>
      </c>
      <c r="V31" s="653" t="s">
        <v>7</v>
      </c>
      <c r="W31" s="653" t="s">
        <v>8</v>
      </c>
      <c r="X31" s="652" t="s">
        <v>9</v>
      </c>
      <c r="Y31" s="8" t="s">
        <v>6</v>
      </c>
      <c r="Z31" s="654" t="s">
        <v>3</v>
      </c>
      <c r="AA31" s="83"/>
      <c r="AB31" s="585" t="s">
        <v>135</v>
      </c>
      <c r="AC31" s="10" t="s">
        <v>10</v>
      </c>
      <c r="AD31" s="3"/>
      <c r="AE31" s="562" t="s">
        <v>11</v>
      </c>
      <c r="AF31" s="117"/>
    </row>
    <row r="32" spans="1:39" ht="8.25" customHeight="1" thickBot="1">
      <c r="A32" s="76" t="s">
        <v>65</v>
      </c>
      <c r="B32" s="77"/>
      <c r="C32" s="649"/>
      <c r="D32" s="649"/>
      <c r="E32" s="138"/>
      <c r="F32" s="608"/>
      <c r="G32" s="608"/>
      <c r="H32" s="609"/>
      <c r="I32" s="609"/>
      <c r="J32" s="593"/>
      <c r="K32" s="594"/>
      <c r="L32" s="594"/>
      <c r="M32" s="594"/>
      <c r="N32" s="594"/>
      <c r="O32" s="594"/>
      <c r="P32" s="3" t="s">
        <v>12</v>
      </c>
      <c r="Q32" s="8" t="s">
        <v>13</v>
      </c>
      <c r="R32" s="653"/>
      <c r="S32" s="653"/>
      <c r="T32" s="652"/>
      <c r="U32" s="8" t="s">
        <v>13</v>
      </c>
      <c r="V32" s="653"/>
      <c r="W32" s="653"/>
      <c r="X32" s="652"/>
      <c r="Y32" s="8" t="s">
        <v>13</v>
      </c>
      <c r="Z32" s="654"/>
      <c r="AA32" s="9" t="s">
        <v>14</v>
      </c>
      <c r="AB32" s="586"/>
      <c r="AC32" s="10" t="s">
        <v>15</v>
      </c>
      <c r="AD32" s="3" t="s">
        <v>16</v>
      </c>
      <c r="AE32" s="562"/>
      <c r="AF32" s="117"/>
    </row>
    <row r="33" spans="1:32" ht="8.25" customHeight="1">
      <c r="A33" s="79" t="s">
        <v>64</v>
      </c>
      <c r="B33" s="80"/>
      <c r="C33" s="649"/>
      <c r="D33" s="649"/>
      <c r="E33" s="138"/>
      <c r="F33" s="608"/>
      <c r="G33" s="608"/>
      <c r="H33" s="609"/>
      <c r="I33" s="609"/>
      <c r="J33" s="593"/>
      <c r="K33" s="594"/>
      <c r="L33" s="594"/>
      <c r="M33" s="594"/>
      <c r="N33" s="594"/>
      <c r="O33" s="594"/>
      <c r="P33" s="11" t="s">
        <v>17</v>
      </c>
      <c r="Q33" s="12" t="s">
        <v>18</v>
      </c>
      <c r="R33" s="653"/>
      <c r="S33" s="653"/>
      <c r="T33" s="652"/>
      <c r="U33" s="12" t="s">
        <v>18</v>
      </c>
      <c r="V33" s="653"/>
      <c r="W33" s="653"/>
      <c r="X33" s="652"/>
      <c r="Y33" s="12" t="s">
        <v>18</v>
      </c>
      <c r="Z33" s="654"/>
      <c r="AA33" s="13"/>
      <c r="AB33" s="587"/>
      <c r="AC33" s="14" t="s">
        <v>19</v>
      </c>
      <c r="AD33" s="15"/>
      <c r="AE33" s="562"/>
      <c r="AF33" s="117"/>
    </row>
    <row r="34" spans="1:32" ht="12" customHeight="1">
      <c r="A34" s="74" t="s">
        <v>66</v>
      </c>
      <c r="B34" s="75"/>
      <c r="C34" s="649"/>
      <c r="D34" s="649"/>
      <c r="E34" s="138"/>
      <c r="F34" s="608"/>
      <c r="G34" s="659"/>
      <c r="H34" s="609"/>
      <c r="I34" s="609"/>
      <c r="J34" s="142" t="str">
        <f ca="1">IF(INDIRECT($AK$1&amp;"!A2")="","",INDIRECT($AK$1&amp;"!A2"))</f>
        <v>Liga:</v>
      </c>
      <c r="K34" s="128" t="s">
        <v>20</v>
      </c>
      <c r="L34" s="574"/>
      <c r="M34" s="575"/>
      <c r="N34" s="575"/>
      <c r="O34" s="576"/>
      <c r="P34" s="139"/>
      <c r="Q34" s="130"/>
      <c r="R34" s="131"/>
      <c r="S34" s="131"/>
      <c r="T34" s="132" t="str">
        <f>IF(Q34="","",1)</f>
        <v/>
      </c>
      <c r="U34" s="130"/>
      <c r="V34" s="131"/>
      <c r="W34" s="131"/>
      <c r="X34" s="132" t="str">
        <f>IF(U34="","",T54+1)</f>
        <v/>
      </c>
      <c r="Y34" s="130"/>
      <c r="Z34" s="131"/>
      <c r="AA34" s="133"/>
      <c r="AB34" s="134">
        <f>IF(AA34="",0,VLOOKUP(AA34,Daten!$B$2:$C$11,2,FALSE))</f>
        <v>0</v>
      </c>
      <c r="AC34" s="135"/>
      <c r="AD34" s="136"/>
      <c r="AE34" s="16">
        <v>1</v>
      </c>
      <c r="AF34" s="16"/>
    </row>
    <row r="35" spans="1:32" ht="12" customHeight="1">
      <c r="A35" s="76" t="s">
        <v>67</v>
      </c>
      <c r="B35" s="77"/>
      <c r="C35" s="649"/>
      <c r="D35" s="649"/>
      <c r="E35" s="138"/>
      <c r="F35" s="608"/>
      <c r="G35" s="659"/>
      <c r="H35" s="609"/>
      <c r="I35" s="609"/>
      <c r="J35" s="142" t="str">
        <f ca="1">IF(INDIRECT($AK$1&amp;"!A3")="","",INDIRECT($AK$1&amp;"!A3"))</f>
        <v/>
      </c>
      <c r="K35" s="128" t="s">
        <v>8</v>
      </c>
      <c r="L35" s="574"/>
      <c r="M35" s="575"/>
      <c r="N35" s="575"/>
      <c r="O35" s="576"/>
      <c r="P35" s="139"/>
      <c r="Q35" s="130"/>
      <c r="R35" s="131"/>
      <c r="S35" s="131"/>
      <c r="T35" s="132" t="str">
        <f>IF(Q35="","",T34+1)</f>
        <v/>
      </c>
      <c r="U35" s="130"/>
      <c r="V35" s="131"/>
      <c r="W35" s="131"/>
      <c r="X35" s="132" t="str">
        <f>IF(U35="","",X34+1)</f>
        <v/>
      </c>
      <c r="Y35" s="130"/>
      <c r="Z35" s="131"/>
      <c r="AA35" s="137"/>
      <c r="AB35" s="134">
        <f>IF(AA35="",0,VLOOKUP(AA35,Daten!$B$2:$C$11,2,FALSE))</f>
        <v>0</v>
      </c>
      <c r="AC35" s="135"/>
      <c r="AD35" s="136"/>
      <c r="AE35" s="16">
        <v>2</v>
      </c>
      <c r="AF35" s="16"/>
    </row>
    <row r="36" spans="1:32" ht="12" customHeight="1" thickBot="1">
      <c r="A36" s="39"/>
      <c r="B36" s="40"/>
      <c r="C36" s="40"/>
      <c r="D36" s="40"/>
      <c r="E36" s="40"/>
      <c r="F36" s="655" t="s">
        <v>68</v>
      </c>
      <c r="G36" s="655"/>
      <c r="H36" s="40"/>
      <c r="I36" s="41"/>
      <c r="J36" s="142" t="str">
        <f ca="1">IF(INDIRECT($AK$1&amp;"!A4")="","",INDIRECT($AK$1&amp;"!A4"))</f>
        <v/>
      </c>
      <c r="K36" s="128" t="s">
        <v>7</v>
      </c>
      <c r="L36" s="158"/>
      <c r="M36" s="140"/>
      <c r="N36" s="140"/>
      <c r="O36" s="141"/>
      <c r="P36" s="139"/>
      <c r="Q36" s="130"/>
      <c r="R36" s="131"/>
      <c r="S36" s="131"/>
      <c r="T36" s="132" t="str">
        <f>IF(Q36="","",T35+1)</f>
        <v/>
      </c>
      <c r="U36" s="130"/>
      <c r="V36" s="131"/>
      <c r="W36" s="131"/>
      <c r="X36" s="132" t="str">
        <f t="shared" ref="X36:X51" si="2">IF(U36="","",X35+1)</f>
        <v/>
      </c>
      <c r="Y36" s="130"/>
      <c r="Z36" s="131"/>
      <c r="AA36" s="137"/>
      <c r="AB36" s="134">
        <f>IF(AA36="",0,VLOOKUP(AA36,Daten!$B$2:$C$11,2,FALSE))</f>
        <v>0</v>
      </c>
      <c r="AC36" s="135"/>
      <c r="AD36" s="136"/>
      <c r="AE36" s="16">
        <v>3</v>
      </c>
      <c r="AF36" s="16"/>
    </row>
    <row r="37" spans="1:32" ht="12" customHeight="1" thickBot="1">
      <c r="A37" s="42" t="s">
        <v>69</v>
      </c>
      <c r="B37" s="57"/>
      <c r="C37" s="43"/>
      <c r="D37" s="43"/>
      <c r="E37" s="43"/>
      <c r="F37" s="44"/>
      <c r="G37" s="656" t="s">
        <v>70</v>
      </c>
      <c r="H37" s="656"/>
      <c r="I37" s="656"/>
      <c r="J37" s="142" t="str">
        <f ca="1">IF(INDIRECT($AK$1&amp;"!A5")="","",INDIRECT($AK$1&amp;"!A5"))</f>
        <v/>
      </c>
      <c r="K37" s="128" t="s">
        <v>7</v>
      </c>
      <c r="L37" s="158"/>
      <c r="M37" s="140"/>
      <c r="N37" s="140"/>
      <c r="O37" s="141"/>
      <c r="P37" s="139"/>
      <c r="Q37" s="130"/>
      <c r="R37" s="131"/>
      <c r="S37" s="131"/>
      <c r="T37" s="132" t="str">
        <f>IF(Q37="","",T36+1)</f>
        <v/>
      </c>
      <c r="U37" s="130"/>
      <c r="V37" s="131"/>
      <c r="W37" s="131"/>
      <c r="X37" s="132" t="str">
        <f t="shared" si="2"/>
        <v/>
      </c>
      <c r="Y37" s="130"/>
      <c r="Z37" s="131"/>
      <c r="AA37" s="137"/>
      <c r="AB37" s="134">
        <f>IF(AA37="",0,VLOOKUP(AA37,Daten!$B$2:$C$11,2,FALSE))</f>
        <v>0</v>
      </c>
      <c r="AC37" s="135"/>
      <c r="AD37" s="136"/>
      <c r="AE37" s="16">
        <v>4</v>
      </c>
      <c r="AF37" s="16"/>
    </row>
    <row r="38" spans="1:32" ht="12" customHeight="1" thickBot="1">
      <c r="A38" s="45" t="s">
        <v>71</v>
      </c>
      <c r="B38" s="58"/>
      <c r="C38" s="46"/>
      <c r="D38" s="46"/>
      <c r="E38" s="46"/>
      <c r="F38" s="47"/>
      <c r="G38" s="656"/>
      <c r="H38" s="656"/>
      <c r="I38" s="656"/>
      <c r="J38" s="142" t="str">
        <f ca="1">IF(INDIRECT($AK$1&amp;"!A6")="","",INDIRECT($AK$1&amp;"!A6"))</f>
        <v/>
      </c>
      <c r="K38" s="129" t="s">
        <v>25</v>
      </c>
      <c r="L38" s="574"/>
      <c r="M38" s="575"/>
      <c r="N38" s="575"/>
      <c r="O38" s="576"/>
      <c r="P38" s="139"/>
      <c r="Q38" s="130"/>
      <c r="R38" s="131"/>
      <c r="S38" s="131"/>
      <c r="T38" s="132" t="str">
        <f t="shared" ref="T38:T51" si="3">IF(Q38="","",T37+1)</f>
        <v/>
      </c>
      <c r="U38" s="130"/>
      <c r="V38" s="131"/>
      <c r="W38" s="131"/>
      <c r="X38" s="132" t="str">
        <f t="shared" si="2"/>
        <v/>
      </c>
      <c r="Y38" s="130"/>
      <c r="Z38" s="131"/>
      <c r="AA38" s="137"/>
      <c r="AB38" s="134">
        <f>IF(AA38="",0,VLOOKUP(AA38,Daten!$B$2:$C$11,2,FALSE))</f>
        <v>0</v>
      </c>
      <c r="AC38" s="135"/>
      <c r="AD38" s="136"/>
      <c r="AE38" s="16">
        <v>5</v>
      </c>
      <c r="AF38" s="16"/>
    </row>
    <row r="39" spans="1:32" ht="12" customHeight="1">
      <c r="A39" s="48"/>
      <c r="B39" s="59"/>
      <c r="C39" s="657" t="s">
        <v>24</v>
      </c>
      <c r="D39" s="657"/>
      <c r="E39" s="60"/>
      <c r="F39" s="156" t="s">
        <v>26</v>
      </c>
      <c r="G39" s="49" t="s">
        <v>24</v>
      </c>
      <c r="H39" s="658" t="s">
        <v>26</v>
      </c>
      <c r="I39" s="658"/>
      <c r="J39" s="142" t="str">
        <f ca="1">IF(INDIRECT($AK$1&amp;"!A7")="","",INDIRECT($AK$1&amp;"!A7"))</f>
        <v>Trikotnummer</v>
      </c>
      <c r="K39" s="129" t="s">
        <v>25</v>
      </c>
      <c r="L39" s="574"/>
      <c r="M39" s="575"/>
      <c r="N39" s="575"/>
      <c r="O39" s="576"/>
      <c r="P39" s="139"/>
      <c r="Q39" s="130"/>
      <c r="R39" s="131"/>
      <c r="S39" s="131"/>
      <c r="T39" s="132" t="str">
        <f t="shared" si="3"/>
        <v/>
      </c>
      <c r="U39" s="130"/>
      <c r="V39" s="131"/>
      <c r="W39" s="131"/>
      <c r="X39" s="132" t="str">
        <f t="shared" si="2"/>
        <v/>
      </c>
      <c r="Y39" s="130"/>
      <c r="Z39" s="131"/>
      <c r="AA39" s="137"/>
      <c r="AB39" s="134">
        <f>IF(AA39="",0,VLOOKUP(AA39,Daten!$B$2:$C$11,2,FALSE))</f>
        <v>0</v>
      </c>
      <c r="AC39" s="135"/>
      <c r="AD39" s="136"/>
      <c r="AE39" s="16">
        <v>6</v>
      </c>
      <c r="AF39" s="16"/>
    </row>
    <row r="40" spans="1:32" ht="12" customHeight="1">
      <c r="A40" s="84" t="s">
        <v>72</v>
      </c>
      <c r="B40" s="563">
        <f ca="1">SUM(COUNTIF($Q$5:$Q$26,"&lt;="&amp;$AK$2),COUNTIF($U$5:$U$24,"&lt;="&amp;$AK$2))</f>
        <v>0</v>
      </c>
      <c r="C40" s="661" t="e">
        <f ca="1">IF($AK$6&gt;=1,$B40,"")</f>
        <v>#REF!</v>
      </c>
      <c r="D40" s="661"/>
      <c r="E40" s="662">
        <f ca="1">SUM(COUNTIF($Q$34:$Q$55,"&lt;="&amp;$AK$2),COUNTIF($U$34:$U$53,"&lt;="&amp;$AK$2))</f>
        <v>0</v>
      </c>
      <c r="F40" s="669" t="e">
        <f ca="1">IF($AK$6&gt;=1,$E40,"")</f>
        <v>#REF!</v>
      </c>
      <c r="G40" s="670" t="e">
        <f ca="1">SUM($C$40:$D$49)</f>
        <v>#REF!</v>
      </c>
      <c r="H40" s="671" t="e">
        <f ca="1">SUM($F$40:$F$49)</f>
        <v>#REF!</v>
      </c>
      <c r="I40" s="671" t="e">
        <f ca="1">SUM($F$40:$F$49)</f>
        <v>#REF!</v>
      </c>
      <c r="J40" s="142">
        <f ca="1">IF(INDIRECT($AK$1&amp;"!A8")="","",INDIRECT($AK$1&amp;"!A8"))</f>
        <v>1</v>
      </c>
      <c r="K40" s="129" t="s">
        <v>25</v>
      </c>
      <c r="L40" s="574"/>
      <c r="M40" s="575"/>
      <c r="N40" s="575"/>
      <c r="O40" s="576"/>
      <c r="P40" s="139"/>
      <c r="Q40" s="130"/>
      <c r="R40" s="131"/>
      <c r="S40" s="131"/>
      <c r="T40" s="132" t="str">
        <f t="shared" si="3"/>
        <v/>
      </c>
      <c r="U40" s="130"/>
      <c r="V40" s="131"/>
      <c r="W40" s="131"/>
      <c r="X40" s="132" t="str">
        <f t="shared" si="2"/>
        <v/>
      </c>
      <c r="Y40" s="130"/>
      <c r="Z40" s="131"/>
      <c r="AA40" s="137"/>
      <c r="AB40" s="134">
        <f>IF(AA40="",0,VLOOKUP(AA40,Daten!$B$2:$C$11,2,FALSE))</f>
        <v>0</v>
      </c>
      <c r="AC40" s="135"/>
      <c r="AD40" s="136"/>
      <c r="AE40" s="16">
        <v>7</v>
      </c>
      <c r="AF40" s="16"/>
    </row>
    <row r="41" spans="1:32" ht="12" customHeight="1" thickBot="1">
      <c r="A41" s="85" t="s">
        <v>73</v>
      </c>
      <c r="B41" s="660"/>
      <c r="C41" s="661"/>
      <c r="D41" s="661"/>
      <c r="E41" s="663"/>
      <c r="F41" s="669"/>
      <c r="G41" s="670" t="e">
        <f ca="1">SUM($C$40:$D$49)</f>
        <v>#REF!</v>
      </c>
      <c r="H41" s="671" t="e">
        <f ca="1">SUM($F$40:$F$49)</f>
        <v>#REF!</v>
      </c>
      <c r="I41" s="671" t="e">
        <f ca="1">SUM($F$40:$F$49)</f>
        <v>#REF!</v>
      </c>
      <c r="J41" s="142">
        <f ca="1">IF(INDIRECT($AK$1&amp;"!A9")="","",INDIRECT($AK$1&amp;"!A9"))</f>
        <v>2</v>
      </c>
      <c r="K41" s="129" t="s">
        <v>25</v>
      </c>
      <c r="L41" s="574"/>
      <c r="M41" s="575"/>
      <c r="N41" s="575"/>
      <c r="O41" s="576"/>
      <c r="P41" s="139"/>
      <c r="Q41" s="130"/>
      <c r="R41" s="131"/>
      <c r="S41" s="131"/>
      <c r="T41" s="132" t="str">
        <f t="shared" si="3"/>
        <v/>
      </c>
      <c r="U41" s="130"/>
      <c r="V41" s="131"/>
      <c r="W41" s="131"/>
      <c r="X41" s="132" t="str">
        <f t="shared" si="2"/>
        <v/>
      </c>
      <c r="Y41" s="130"/>
      <c r="Z41" s="131"/>
      <c r="AA41" s="137"/>
      <c r="AB41" s="134">
        <f>IF(AA41="",0,VLOOKUP(AA41,Daten!$B$2:$C$11,2,FALSE))</f>
        <v>0</v>
      </c>
      <c r="AC41" s="135"/>
      <c r="AD41" s="136"/>
      <c r="AE41" s="16">
        <v>8</v>
      </c>
      <c r="AF41" s="16"/>
    </row>
    <row r="42" spans="1:32" ht="12" customHeight="1">
      <c r="A42" s="84" t="s">
        <v>74</v>
      </c>
      <c r="B42" s="563">
        <f ca="1">SUM(COUNTIF($Q$5:$Q$26,"&lt;="&amp;$AK$3),COUNTIF($U$5:$U$24,"&lt;="&amp;$AK$3))-B40</f>
        <v>0</v>
      </c>
      <c r="C42" s="661" t="e">
        <f ca="1">IF($AK$6&gt;=2,$B42,"")</f>
        <v>#REF!</v>
      </c>
      <c r="D42" s="661"/>
      <c r="E42" s="662">
        <f ca="1">SUM(COUNTIF($Q$34:$Q$55,"&lt;="&amp;$AK$3),COUNTIF($U$34:$U$53,"&lt;="&amp;$AK$3))-E40</f>
        <v>0</v>
      </c>
      <c r="F42" s="661" t="e">
        <f ca="1">IF($AK$6&gt;=2,$E42,"")</f>
        <v>#REF!</v>
      </c>
      <c r="G42" s="664" t="s">
        <v>75</v>
      </c>
      <c r="H42" s="665"/>
      <c r="I42" s="665"/>
      <c r="J42" s="142">
        <f ca="1">IF(INDIRECT($AK$1&amp;"!A10")="","",INDIRECT($AK$1&amp;"!A10"))</f>
        <v>3</v>
      </c>
      <c r="K42" s="129" t="s">
        <v>25</v>
      </c>
      <c r="L42" s="574"/>
      <c r="M42" s="575"/>
      <c r="N42" s="575"/>
      <c r="O42" s="576"/>
      <c r="P42" s="139"/>
      <c r="Q42" s="130"/>
      <c r="R42" s="131"/>
      <c r="S42" s="131"/>
      <c r="T42" s="132" t="str">
        <f t="shared" si="3"/>
        <v/>
      </c>
      <c r="U42" s="130"/>
      <c r="V42" s="131"/>
      <c r="W42" s="131"/>
      <c r="X42" s="132" t="str">
        <f t="shared" si="2"/>
        <v/>
      </c>
      <c r="Y42" s="130"/>
      <c r="Z42" s="131"/>
      <c r="AA42" s="137"/>
      <c r="AB42" s="134">
        <f>IF(AA42="",0,VLOOKUP(AA42,Daten!$B$2:$C$11,2,FALSE))</f>
        <v>0</v>
      </c>
      <c r="AC42" s="135"/>
      <c r="AD42" s="136"/>
      <c r="AE42" s="16">
        <v>9</v>
      </c>
      <c r="AF42" s="16"/>
    </row>
    <row r="43" spans="1:32" ht="12" customHeight="1" thickBot="1">
      <c r="A43" s="85" t="s">
        <v>73</v>
      </c>
      <c r="B43" s="660"/>
      <c r="C43" s="661"/>
      <c r="D43" s="661"/>
      <c r="E43" s="663"/>
      <c r="F43" s="661"/>
      <c r="G43" s="666" t="e">
        <f ca="1">IF($G$40=$H$40,"Unentschieden",IF($G$40&gt;$H$40,$D$9,IF($H$40&gt;$G$40,$D$11,"Fehler")))</f>
        <v>#REF!</v>
      </c>
      <c r="H43" s="667" t="e">
        <f ca="1">IF($G$40=$H$40,"Unentschieden",IF($G$40&gt;$H$40,$D$9,IF($H$40&gt;$G$40,$D$11,"Fehler")))</f>
        <v>#REF!</v>
      </c>
      <c r="I43" s="668" t="e">
        <f ca="1">IF($G$40=$H$40,"Unentschieden",IF($G$40&gt;$H$40,$D$9,IF($H$40&gt;$G$40,$D$11,"Fehler")))</f>
        <v>#REF!</v>
      </c>
      <c r="J43" s="142">
        <f ca="1">IF(INDIRECT($AK$1&amp;"!A11")="","",INDIRECT($AK$1&amp;"!A11"))</f>
        <v>4</v>
      </c>
      <c r="K43" s="129" t="s">
        <v>25</v>
      </c>
      <c r="L43" s="574"/>
      <c r="M43" s="575"/>
      <c r="N43" s="575"/>
      <c r="O43" s="576"/>
      <c r="P43" s="139"/>
      <c r="Q43" s="130"/>
      <c r="R43" s="131"/>
      <c r="S43" s="131"/>
      <c r="T43" s="132" t="str">
        <f t="shared" si="3"/>
        <v/>
      </c>
      <c r="U43" s="130"/>
      <c r="V43" s="131"/>
      <c r="W43" s="131"/>
      <c r="X43" s="132" t="str">
        <f t="shared" si="2"/>
        <v/>
      </c>
      <c r="Y43" s="130"/>
      <c r="Z43" s="131"/>
      <c r="AA43" s="137"/>
      <c r="AB43" s="134">
        <f>IF(AA43="",0,VLOOKUP(AA43,Daten!$B$2:$C$11,2,FALSE))</f>
        <v>0</v>
      </c>
      <c r="AC43" s="135"/>
      <c r="AD43" s="136"/>
      <c r="AE43" s="16">
        <v>10</v>
      </c>
      <c r="AF43" s="16"/>
    </row>
    <row r="44" spans="1:32" ht="12" customHeight="1">
      <c r="A44" s="84" t="s">
        <v>76</v>
      </c>
      <c r="B44" s="563">
        <f ca="1">SUM(COUNTIF($Q$5:$Q$26,"&lt;="&amp;$AK$4),COUNTIF($U$5:$U$24,"&lt;="&amp;$AK$4))-SUM(B40:B43)</f>
        <v>0</v>
      </c>
      <c r="C44" s="661" t="e">
        <f ca="1">IF($AK$6&gt;=3,$B44,"")</f>
        <v>#REF!</v>
      </c>
      <c r="D44" s="661"/>
      <c r="E44" s="662">
        <f ca="1">SUM(COUNTIF($Q$34:$Q$55,"&lt;="&amp;$AK$4),COUNTIF($U$34:$U$53,"&lt;="&amp;$AK$4))-SUM(E40:E43)</f>
        <v>0</v>
      </c>
      <c r="F44" s="669" t="e">
        <f ca="1">IF($AK$6&gt;=3,$E44,"")</f>
        <v>#REF!</v>
      </c>
      <c r="G44" s="50" t="s">
        <v>77</v>
      </c>
      <c r="H44" s="51"/>
      <c r="I44" s="52"/>
      <c r="J44" s="142">
        <f ca="1">IF(INDIRECT($AK$1&amp;"!A12")="","",INDIRECT($AK$1&amp;"!A12"))</f>
        <v>5</v>
      </c>
      <c r="K44" s="129" t="s">
        <v>25</v>
      </c>
      <c r="L44" s="574"/>
      <c r="M44" s="575"/>
      <c r="N44" s="575"/>
      <c r="O44" s="576"/>
      <c r="P44" s="139"/>
      <c r="Q44" s="130"/>
      <c r="R44" s="131"/>
      <c r="S44" s="131"/>
      <c r="T44" s="132" t="str">
        <f t="shared" si="3"/>
        <v/>
      </c>
      <c r="U44" s="130"/>
      <c r="V44" s="131"/>
      <c r="W44" s="131"/>
      <c r="X44" s="132" t="str">
        <f t="shared" si="2"/>
        <v/>
      </c>
      <c r="Y44" s="130"/>
      <c r="Z44" s="131"/>
      <c r="AA44" s="137"/>
      <c r="AB44" s="134">
        <f>IF(AA44="",0,VLOOKUP(AA44,Daten!$B$2:$C$11,2,FALSE))</f>
        <v>0</v>
      </c>
      <c r="AC44" s="135"/>
      <c r="AD44" s="136"/>
      <c r="AE44" s="16">
        <v>11</v>
      </c>
      <c r="AF44" s="16"/>
    </row>
    <row r="45" spans="1:32" ht="12" customHeight="1" thickBot="1">
      <c r="A45" s="85" t="s">
        <v>73</v>
      </c>
      <c r="B45" s="660"/>
      <c r="C45" s="661"/>
      <c r="D45" s="661"/>
      <c r="E45" s="663"/>
      <c r="F45" s="669"/>
      <c r="G45" s="573"/>
      <c r="H45" s="573"/>
      <c r="I45" s="573"/>
      <c r="J45" s="142">
        <f ca="1">IF(INDIRECT($AK$1&amp;"!A13")="","",INDIRECT($AK$1&amp;"!A13"))</f>
        <v>6</v>
      </c>
      <c r="K45" s="129" t="s">
        <v>25</v>
      </c>
      <c r="L45" s="574"/>
      <c r="M45" s="575"/>
      <c r="N45" s="575"/>
      <c r="O45" s="576"/>
      <c r="P45" s="139"/>
      <c r="Q45" s="130"/>
      <c r="R45" s="131"/>
      <c r="S45" s="131"/>
      <c r="T45" s="132" t="str">
        <f t="shared" si="3"/>
        <v/>
      </c>
      <c r="U45" s="130"/>
      <c r="V45" s="131"/>
      <c r="W45" s="131"/>
      <c r="X45" s="132" t="str">
        <f t="shared" si="2"/>
        <v/>
      </c>
      <c r="Y45" s="130"/>
      <c r="Z45" s="131"/>
      <c r="AA45" s="137"/>
      <c r="AB45" s="134">
        <f>IF(AA45="",0,VLOOKUP(AA45,Daten!$B$2:$C$11,2,FALSE))</f>
        <v>0</v>
      </c>
      <c r="AC45" s="135"/>
      <c r="AD45" s="136"/>
      <c r="AE45" s="16">
        <v>12</v>
      </c>
      <c r="AF45" s="16"/>
    </row>
    <row r="46" spans="1:32" ht="12" customHeight="1" thickBot="1">
      <c r="A46" s="84" t="s">
        <v>78</v>
      </c>
      <c r="B46" s="563">
        <f ca="1">SUM(COUNTIF($Q$5:$Q$26,"&lt;="&amp;$AK$5),COUNTIF($U$5:$U$24,"&lt;="&amp;$AK$5))-SUM(B40:B45)</f>
        <v>0</v>
      </c>
      <c r="C46" s="661" t="str">
        <f ca="1">IF($AL$9&gt;0,$B46,"")</f>
        <v/>
      </c>
      <c r="D46" s="661"/>
      <c r="E46" s="662">
        <f ca="1">SUM(COUNTIF($Q$34:$Q$55,"&lt;="&amp;$AK$5),COUNTIF($U$34:$U$53,"&lt;="&amp;$AK$5))-SUM(E40:E45)</f>
        <v>0</v>
      </c>
      <c r="F46" s="669" t="str">
        <f ca="1">IF($AL$9&gt;0,$E46,"")</f>
        <v/>
      </c>
      <c r="G46" s="573"/>
      <c r="H46" s="573"/>
      <c r="I46" s="573"/>
      <c r="J46" s="142">
        <f ca="1">IF(INDIRECT($AK$1&amp;"!A14")="","",INDIRECT($AK$1&amp;"!A14"))</f>
        <v>7</v>
      </c>
      <c r="K46" s="129" t="s">
        <v>25</v>
      </c>
      <c r="L46" s="574"/>
      <c r="M46" s="575"/>
      <c r="N46" s="575"/>
      <c r="O46" s="576"/>
      <c r="P46" s="139"/>
      <c r="Q46" s="130"/>
      <c r="R46" s="131"/>
      <c r="S46" s="131"/>
      <c r="T46" s="132" t="str">
        <f t="shared" si="3"/>
        <v/>
      </c>
      <c r="U46" s="130"/>
      <c r="V46" s="131"/>
      <c r="W46" s="131"/>
      <c r="X46" s="132" t="str">
        <f t="shared" si="2"/>
        <v/>
      </c>
      <c r="Y46" s="130"/>
      <c r="Z46" s="131"/>
      <c r="AA46" s="137"/>
      <c r="AB46" s="134">
        <f>IF(AA46="",0,VLOOKUP(AA46,Daten!$B$2:$C$11,2,FALSE))</f>
        <v>0</v>
      </c>
      <c r="AC46" s="135"/>
      <c r="AD46" s="136"/>
      <c r="AE46" s="16">
        <v>13</v>
      </c>
      <c r="AF46" s="16"/>
    </row>
    <row r="47" spans="1:32" ht="12" customHeight="1">
      <c r="A47" s="85" t="s">
        <v>79</v>
      </c>
      <c r="B47" s="660"/>
      <c r="C47" s="661"/>
      <c r="D47" s="661"/>
      <c r="E47" s="663"/>
      <c r="F47" s="669"/>
      <c r="G47" s="50" t="s">
        <v>80</v>
      </c>
      <c r="H47" s="43"/>
      <c r="I47" s="44"/>
      <c r="J47" s="142">
        <f ca="1">IF(INDIRECT($AK$1&amp;"!A15")="","",INDIRECT($AK$1&amp;"!A15"))</f>
        <v>8</v>
      </c>
      <c r="K47" s="129" t="s">
        <v>25</v>
      </c>
      <c r="L47" s="574"/>
      <c r="M47" s="575"/>
      <c r="N47" s="575"/>
      <c r="O47" s="576"/>
      <c r="P47" s="139"/>
      <c r="Q47" s="130"/>
      <c r="R47" s="131"/>
      <c r="S47" s="131"/>
      <c r="T47" s="132" t="str">
        <f t="shared" si="3"/>
        <v/>
      </c>
      <c r="U47" s="130"/>
      <c r="V47" s="131"/>
      <c r="W47" s="131"/>
      <c r="X47" s="132" t="str">
        <f t="shared" si="2"/>
        <v/>
      </c>
      <c r="Y47" s="130"/>
      <c r="Z47" s="131"/>
      <c r="AA47" s="137"/>
      <c r="AB47" s="134">
        <f>IF(AA47="",0,VLOOKUP(AA47,Daten!$B$2:$C$11,2,FALSE))</f>
        <v>0</v>
      </c>
      <c r="AC47" s="135"/>
      <c r="AD47" s="136"/>
      <c r="AE47" s="16">
        <v>14</v>
      </c>
      <c r="AF47" s="16"/>
    </row>
    <row r="48" spans="1:32" ht="12" customHeight="1" thickBot="1">
      <c r="A48" s="84" t="s">
        <v>81</v>
      </c>
      <c r="B48" s="563">
        <f>IF(NOT(AL19="0"),1,0)</f>
        <v>0</v>
      </c>
      <c r="C48" s="565" t="str">
        <f>IF(NOT(AM19="0"),B48,"")</f>
        <v/>
      </c>
      <c r="D48" s="566"/>
      <c r="E48" s="569">
        <f>IF(NOT(AL21="0"),1,0)</f>
        <v>0</v>
      </c>
      <c r="F48" s="571" t="str">
        <f>IF(NOT(AM19="0"),E48,"")</f>
        <v/>
      </c>
      <c r="G48" s="573"/>
      <c r="H48" s="573"/>
      <c r="I48" s="573"/>
      <c r="J48" s="142">
        <f ca="1">IF(INDIRECT($AK$1&amp;"!A16")="","",INDIRECT($AK$1&amp;"!A16"))</f>
        <v>9</v>
      </c>
      <c r="K48" s="129" t="s">
        <v>25</v>
      </c>
      <c r="L48" s="574"/>
      <c r="M48" s="575"/>
      <c r="N48" s="575"/>
      <c r="O48" s="576"/>
      <c r="P48" s="139"/>
      <c r="Q48" s="130"/>
      <c r="R48" s="131"/>
      <c r="S48" s="131"/>
      <c r="T48" s="132" t="str">
        <f t="shared" si="3"/>
        <v/>
      </c>
      <c r="U48" s="130"/>
      <c r="V48" s="131"/>
      <c r="W48" s="131"/>
      <c r="X48" s="132" t="str">
        <f t="shared" si="2"/>
        <v/>
      </c>
      <c r="Y48" s="130"/>
      <c r="Z48" s="131"/>
      <c r="AA48" s="137"/>
      <c r="AB48" s="134">
        <f>IF(AA48="",0,VLOOKUP(AA48,Daten!$B$2:$C$11,2,FALSE))</f>
        <v>0</v>
      </c>
      <c r="AC48" s="135"/>
      <c r="AD48" s="136"/>
      <c r="AE48" s="16">
        <v>15</v>
      </c>
      <c r="AF48" s="16"/>
    </row>
    <row r="49" spans="1:32" ht="12" customHeight="1" thickBot="1">
      <c r="A49" s="86" t="s">
        <v>82</v>
      </c>
      <c r="B49" s="564"/>
      <c r="C49" s="567"/>
      <c r="D49" s="568"/>
      <c r="E49" s="570"/>
      <c r="F49" s="572"/>
      <c r="G49" s="573"/>
      <c r="H49" s="573"/>
      <c r="I49" s="573"/>
      <c r="J49" s="142">
        <f ca="1">IF(INDIRECT($AK$1&amp;"!A17")="","",INDIRECT($AK$1&amp;"!A17"))</f>
        <v>10</v>
      </c>
      <c r="K49" s="129" t="s">
        <v>25</v>
      </c>
      <c r="L49" s="574"/>
      <c r="M49" s="575"/>
      <c r="N49" s="575"/>
      <c r="O49" s="576"/>
      <c r="P49" s="139"/>
      <c r="Q49" s="130"/>
      <c r="R49" s="131"/>
      <c r="S49" s="131"/>
      <c r="T49" s="132" t="str">
        <f t="shared" si="3"/>
        <v/>
      </c>
      <c r="U49" s="130"/>
      <c r="V49" s="131"/>
      <c r="W49" s="131"/>
      <c r="X49" s="132" t="str">
        <f t="shared" si="2"/>
        <v/>
      </c>
      <c r="Y49" s="130"/>
      <c r="Z49" s="131"/>
      <c r="AA49" s="137"/>
      <c r="AB49" s="134">
        <f>IF(AA49="",0,VLOOKUP(AA49,Daten!$B$2:$C$11,2,FALSE))</f>
        <v>0</v>
      </c>
      <c r="AC49" s="135"/>
      <c r="AD49" s="136"/>
      <c r="AE49" s="16">
        <v>16</v>
      </c>
      <c r="AF49" s="16"/>
    </row>
    <row r="50" spans="1:32" ht="12" customHeight="1">
      <c r="A50" s="87" t="s">
        <v>83</v>
      </c>
      <c r="B50" s="88"/>
      <c r="D50" s="672"/>
      <c r="E50" s="672"/>
      <c r="F50" s="672"/>
      <c r="G50" s="672"/>
      <c r="H50" s="672"/>
      <c r="I50" s="672"/>
      <c r="J50" s="142">
        <f ca="1">IF(INDIRECT($AK$1&amp;"!A18")="","",INDIRECT($AK$1&amp;"!A18"))</f>
        <v>11</v>
      </c>
      <c r="K50" s="129" t="s">
        <v>25</v>
      </c>
      <c r="L50" s="574"/>
      <c r="M50" s="575"/>
      <c r="N50" s="575"/>
      <c r="O50" s="576"/>
      <c r="P50" s="139"/>
      <c r="Q50" s="130"/>
      <c r="R50" s="131"/>
      <c r="S50" s="131"/>
      <c r="T50" s="132" t="str">
        <f t="shared" si="3"/>
        <v/>
      </c>
      <c r="U50" s="130"/>
      <c r="V50" s="131"/>
      <c r="W50" s="131"/>
      <c r="X50" s="132" t="str">
        <f t="shared" si="2"/>
        <v/>
      </c>
      <c r="Y50" s="130"/>
      <c r="Z50" s="131"/>
      <c r="AA50" s="137"/>
      <c r="AB50" s="134">
        <f>IF(AA50="",0,VLOOKUP(AA50,Daten!$B$2:$C$11,2,FALSE))</f>
        <v>0</v>
      </c>
      <c r="AC50" s="135"/>
      <c r="AD50" s="136"/>
      <c r="AE50" s="16">
        <v>17</v>
      </c>
      <c r="AF50" s="16"/>
    </row>
    <row r="51" spans="1:32" ht="12" customHeight="1" thickBot="1">
      <c r="A51" s="87" t="s">
        <v>84</v>
      </c>
      <c r="B51" s="88"/>
      <c r="D51" s="672"/>
      <c r="E51" s="672"/>
      <c r="F51" s="672"/>
      <c r="G51" s="672"/>
      <c r="H51" s="672"/>
      <c r="I51" s="672"/>
      <c r="J51" s="142">
        <f ca="1">IF(INDIRECT($AK$1&amp;"!A19")="","",INDIRECT($AK$1&amp;"!A19"))</f>
        <v>12</v>
      </c>
      <c r="K51" s="129" t="s">
        <v>25</v>
      </c>
      <c r="L51" s="610"/>
      <c r="M51" s="611"/>
      <c r="N51" s="611"/>
      <c r="O51" s="612"/>
      <c r="P51" s="139"/>
      <c r="Q51" s="130"/>
      <c r="R51" s="131"/>
      <c r="S51" s="131"/>
      <c r="T51" s="132" t="str">
        <f t="shared" si="3"/>
        <v/>
      </c>
      <c r="U51" s="130"/>
      <c r="V51" s="131"/>
      <c r="W51" s="131"/>
      <c r="X51" s="132" t="str">
        <f t="shared" si="2"/>
        <v/>
      </c>
      <c r="Y51" s="130"/>
      <c r="Z51" s="131"/>
      <c r="AA51" s="137"/>
      <c r="AB51" s="134">
        <f>IF(AA51="",0,VLOOKUP(AA51,Daten!$B$2:$C$11,2,FALSE))</f>
        <v>0</v>
      </c>
      <c r="AC51" s="135"/>
      <c r="AD51" s="136"/>
      <c r="AE51" s="16">
        <v>18</v>
      </c>
      <c r="AF51" s="16"/>
    </row>
    <row r="52" spans="1:32" ht="6" customHeight="1" thickBot="1">
      <c r="A52" s="673" t="s">
        <v>85</v>
      </c>
      <c r="B52" s="673"/>
      <c r="C52" s="673"/>
      <c r="D52" s="672"/>
      <c r="E52" s="672"/>
      <c r="F52" s="672"/>
      <c r="G52" s="672"/>
      <c r="H52" s="672"/>
      <c r="I52" s="672"/>
      <c r="J52" s="613" t="s">
        <v>51</v>
      </c>
      <c r="K52" s="614"/>
      <c r="L52" s="619" t="s">
        <v>52</v>
      </c>
      <c r="M52" s="620" t="s">
        <v>45</v>
      </c>
      <c r="N52" s="620"/>
      <c r="O52" s="620"/>
      <c r="P52" s="630" t="str">
        <f ca="1">IF(INDIRECT($AK$1&amp;"!g3")="","",INDIRECT($AK$1&amp;"!g3"))</f>
        <v/>
      </c>
      <c r="Q52" s="633"/>
      <c r="R52" s="635"/>
      <c r="S52" s="635"/>
      <c r="T52" s="637" t="str">
        <f>IF(Q52="","",T51+1)</f>
        <v/>
      </c>
      <c r="U52" s="633"/>
      <c r="V52" s="635"/>
      <c r="W52" s="635"/>
      <c r="X52" s="637" t="str">
        <f>IF(U52="","",X51+1)</f>
        <v/>
      </c>
      <c r="Y52" s="633"/>
      <c r="Z52" s="635"/>
      <c r="AA52" s="604"/>
      <c r="AB52" s="606">
        <f>IF(AA52="",0,VLOOKUP(AA52,Daten!$B$2:$C$11,2,FALSE))</f>
        <v>0</v>
      </c>
      <c r="AC52" s="643"/>
      <c r="AD52" s="597"/>
      <c r="AE52" s="561">
        <v>19</v>
      </c>
      <c r="AF52" s="118"/>
    </row>
    <row r="53" spans="1:32" ht="6" customHeight="1" thickBot="1">
      <c r="A53" s="673"/>
      <c r="B53" s="673"/>
      <c r="C53" s="673"/>
      <c r="D53" s="672"/>
      <c r="E53" s="672"/>
      <c r="F53" s="672"/>
      <c r="G53" s="672"/>
      <c r="H53" s="672"/>
      <c r="I53" s="672"/>
      <c r="J53" s="615"/>
      <c r="K53" s="616"/>
      <c r="L53" s="619"/>
      <c r="M53" s="621" t="s">
        <v>54</v>
      </c>
      <c r="N53" s="621"/>
      <c r="O53" s="621"/>
      <c r="P53" s="631"/>
      <c r="Q53" s="634"/>
      <c r="R53" s="647"/>
      <c r="S53" s="647"/>
      <c r="T53" s="648"/>
      <c r="U53" s="634"/>
      <c r="V53" s="647"/>
      <c r="W53" s="636"/>
      <c r="X53" s="638"/>
      <c r="Y53" s="634"/>
      <c r="Z53" s="647"/>
      <c r="AA53" s="605"/>
      <c r="AB53" s="607">
        <f>IF(AA53="",0,VLOOKUP(AA53,Daten!$B$2:$C$11,2,FALSE))</f>
        <v>0</v>
      </c>
      <c r="AC53" s="646"/>
      <c r="AD53" s="676"/>
      <c r="AE53" s="561"/>
      <c r="AF53" s="118"/>
    </row>
    <row r="54" spans="1:32" ht="6" customHeight="1" thickBot="1">
      <c r="A54" s="673" t="s">
        <v>86</v>
      </c>
      <c r="B54" s="673"/>
      <c r="C54" s="673"/>
      <c r="D54" s="672"/>
      <c r="E54" s="672"/>
      <c r="F54" s="672"/>
      <c r="G54" s="672"/>
      <c r="H54" s="672"/>
      <c r="I54" s="672"/>
      <c r="J54" s="615"/>
      <c r="K54" s="616"/>
      <c r="L54" s="619"/>
      <c r="M54" s="622" t="s">
        <v>56</v>
      </c>
      <c r="N54" s="622"/>
      <c r="O54" s="622"/>
      <c r="P54" s="632"/>
      <c r="Q54" s="633"/>
      <c r="R54" s="635"/>
      <c r="S54" s="635"/>
      <c r="T54" s="637" t="str">
        <f>IF(Q54="","",T52+1)</f>
        <v/>
      </c>
      <c r="U54" s="645" t="s">
        <v>57</v>
      </c>
      <c r="V54" s="645"/>
      <c r="W54" s="639">
        <f>COUNT($T$34:$T$54,$X$34:$X$53)</f>
        <v>0</v>
      </c>
      <c r="X54" s="639">
        <f>COUNTA($T$34:$T$54,$X$34:$X$53)</f>
        <v>39</v>
      </c>
      <c r="Y54" s="633"/>
      <c r="Z54" s="635"/>
      <c r="AA54" s="604"/>
      <c r="AB54" s="606">
        <f>IF(AA54="",0,VLOOKUP(AA54,Daten!$B$2:$C$11,2,FALSE))</f>
        <v>0</v>
      </c>
      <c r="AC54" s="643"/>
      <c r="AD54" s="597"/>
      <c r="AE54" s="561">
        <v>20</v>
      </c>
      <c r="AF54" s="118"/>
    </row>
    <row r="55" spans="1:32" ht="6" customHeight="1" thickBot="1">
      <c r="A55" s="673"/>
      <c r="B55" s="673"/>
      <c r="C55" s="673"/>
      <c r="D55" s="672"/>
      <c r="E55" s="672"/>
      <c r="F55" s="672"/>
      <c r="G55" s="672"/>
      <c r="H55" s="672"/>
      <c r="I55" s="672"/>
      <c r="J55" s="615"/>
      <c r="K55" s="616"/>
      <c r="L55" s="623"/>
      <c r="M55" s="624"/>
      <c r="N55" s="625"/>
      <c r="O55" s="625"/>
      <c r="P55" s="626"/>
      <c r="Q55" s="640"/>
      <c r="R55" s="636"/>
      <c r="S55" s="636"/>
      <c r="T55" s="638"/>
      <c r="U55" s="645"/>
      <c r="V55" s="645"/>
      <c r="W55" s="639">
        <f>COUNTA($T$34:$T$54,$X$34:$X$53)</f>
        <v>39</v>
      </c>
      <c r="X55" s="639">
        <f>COUNTA($T$34:$T$54,$X$34:$X$53)</f>
        <v>39</v>
      </c>
      <c r="Y55" s="640"/>
      <c r="Z55" s="636"/>
      <c r="AA55" s="641"/>
      <c r="AB55" s="642">
        <f>IF(AA55="",0,VLOOKUP(AA55,Daten!$B$2:$C$11,2,FALSE))</f>
        <v>0</v>
      </c>
      <c r="AC55" s="644"/>
      <c r="AD55" s="598"/>
      <c r="AE55" s="561"/>
      <c r="AF55" s="118"/>
    </row>
    <row r="56" spans="1:32" ht="12" customHeight="1" thickBot="1">
      <c r="A56" s="674" t="s">
        <v>87</v>
      </c>
      <c r="B56" s="675"/>
      <c r="C56" s="675"/>
      <c r="D56" s="675"/>
      <c r="E56" s="675"/>
      <c r="F56" s="675"/>
      <c r="G56" s="675"/>
      <c r="H56" s="675"/>
      <c r="I56" s="120"/>
      <c r="J56" s="617"/>
      <c r="K56" s="618"/>
      <c r="L56" s="623"/>
      <c r="M56" s="627"/>
      <c r="N56" s="628"/>
      <c r="O56" s="628"/>
      <c r="P56" s="629"/>
      <c r="Q56" s="592" t="s">
        <v>60</v>
      </c>
      <c r="R56" s="592"/>
      <c r="S56" s="592"/>
      <c r="T56" s="592"/>
      <c r="U56" s="124"/>
      <c r="V56" s="125"/>
      <c r="W56" s="126"/>
      <c r="X56" s="127"/>
      <c r="Y56" s="592" t="s">
        <v>57</v>
      </c>
      <c r="Z56" s="592"/>
      <c r="AA56" s="592"/>
      <c r="AB56" s="81"/>
      <c r="AC56" s="91">
        <f>SUM(AB34:AB51)+AB52+AB54</f>
        <v>0</v>
      </c>
      <c r="AD56" s="89" t="s">
        <v>61</v>
      </c>
    </row>
  </sheetData>
  <dataConsolidate/>
  <mergeCells count="215">
    <mergeCell ref="AE54:AE55"/>
    <mergeCell ref="L48:O48"/>
    <mergeCell ref="L49:O49"/>
    <mergeCell ref="V52:V53"/>
    <mergeCell ref="W52:W53"/>
    <mergeCell ref="X52:X53"/>
    <mergeCell ref="Y52:Y53"/>
    <mergeCell ref="Z52:Z53"/>
    <mergeCell ref="AA52:AA53"/>
    <mergeCell ref="AE52:AE53"/>
    <mergeCell ref="T54:T55"/>
    <mergeCell ref="A1:C6"/>
    <mergeCell ref="AF1:AF23"/>
    <mergeCell ref="AG1:AH1"/>
    <mergeCell ref="AI1:AI23"/>
    <mergeCell ref="W2:W4"/>
    <mergeCell ref="X2:X4"/>
    <mergeCell ref="Z2:Z4"/>
    <mergeCell ref="AE2:AE4"/>
    <mergeCell ref="AG2:AH23"/>
    <mergeCell ref="L5:O5"/>
    <mergeCell ref="L6:O6"/>
    <mergeCell ref="A7:C8"/>
    <mergeCell ref="D7:H8"/>
    <mergeCell ref="A9:C10"/>
    <mergeCell ref="D9:H10"/>
    <mergeCell ref="I9:I10"/>
    <mergeCell ref="L9:O9"/>
    <mergeCell ref="L10:O10"/>
    <mergeCell ref="A11:C12"/>
    <mergeCell ref="D11:H12"/>
    <mergeCell ref="I11:I12"/>
    <mergeCell ref="L11:O11"/>
    <mergeCell ref="L12:O12"/>
    <mergeCell ref="AD23:AD24"/>
    <mergeCell ref="A56:H56"/>
    <mergeCell ref="Y56:AA56"/>
    <mergeCell ref="AC54:AC55"/>
    <mergeCell ref="AD54:AD55"/>
    <mergeCell ref="L55:L56"/>
    <mergeCell ref="M55:P56"/>
    <mergeCell ref="U54:V55"/>
    <mergeCell ref="W54:X55"/>
    <mergeCell ref="Y54:Y55"/>
    <mergeCell ref="Z54:Z55"/>
    <mergeCell ref="AA54:AA55"/>
    <mergeCell ref="AB54:AB55"/>
    <mergeCell ref="P52:P54"/>
    <mergeCell ref="Q52:Q53"/>
    <mergeCell ref="R52:R53"/>
    <mergeCell ref="S52:S53"/>
    <mergeCell ref="T52:T53"/>
    <mergeCell ref="U52:U53"/>
    <mergeCell ref="Q54:Q55"/>
    <mergeCell ref="R54:R55"/>
    <mergeCell ref="AB52:AB53"/>
    <mergeCell ref="AC52:AC53"/>
    <mergeCell ref="AD52:AD53"/>
    <mergeCell ref="S54:S55"/>
    <mergeCell ref="Q56:T56"/>
    <mergeCell ref="B44:B45"/>
    <mergeCell ref="C44:D45"/>
    <mergeCell ref="E44:E45"/>
    <mergeCell ref="F44:F45"/>
    <mergeCell ref="L44:O44"/>
    <mergeCell ref="G45:I46"/>
    <mergeCell ref="L45:O45"/>
    <mergeCell ref="B46:B47"/>
    <mergeCell ref="C46:D47"/>
    <mergeCell ref="E46:E47"/>
    <mergeCell ref="F46:F47"/>
    <mergeCell ref="L46:O46"/>
    <mergeCell ref="L47:O47"/>
    <mergeCell ref="D50:I55"/>
    <mergeCell ref="L50:O50"/>
    <mergeCell ref="L51:O51"/>
    <mergeCell ref="A52:C53"/>
    <mergeCell ref="J52:K56"/>
    <mergeCell ref="L52:L54"/>
    <mergeCell ref="M52:O52"/>
    <mergeCell ref="M53:O53"/>
    <mergeCell ref="A54:C55"/>
    <mergeCell ref="M54:O54"/>
    <mergeCell ref="L40:O40"/>
    <mergeCell ref="L41:O41"/>
    <mergeCell ref="B42:B43"/>
    <mergeCell ref="C42:D43"/>
    <mergeCell ref="E42:E43"/>
    <mergeCell ref="F42:F43"/>
    <mergeCell ref="G42:I42"/>
    <mergeCell ref="L42:O42"/>
    <mergeCell ref="G43:I43"/>
    <mergeCell ref="L43:O43"/>
    <mergeCell ref="B40:B41"/>
    <mergeCell ref="C40:D41"/>
    <mergeCell ref="E40:E41"/>
    <mergeCell ref="F40:F41"/>
    <mergeCell ref="G40:G41"/>
    <mergeCell ref="H40:I41"/>
    <mergeCell ref="G37:I38"/>
    <mergeCell ref="L38:O38"/>
    <mergeCell ref="C39:D39"/>
    <mergeCell ref="H39:I39"/>
    <mergeCell ref="L39:O39"/>
    <mergeCell ref="C34:D35"/>
    <mergeCell ref="F34:F35"/>
    <mergeCell ref="G34:G35"/>
    <mergeCell ref="H34:I35"/>
    <mergeCell ref="L34:O34"/>
    <mergeCell ref="L35:O35"/>
    <mergeCell ref="C31:D33"/>
    <mergeCell ref="F31:F33"/>
    <mergeCell ref="G31:G33"/>
    <mergeCell ref="H31:I33"/>
    <mergeCell ref="J31:J33"/>
    <mergeCell ref="K31:O33"/>
    <mergeCell ref="R31:R33"/>
    <mergeCell ref="S31:S33"/>
    <mergeCell ref="F36:G36"/>
    <mergeCell ref="Y28:AD30"/>
    <mergeCell ref="Q27:T27"/>
    <mergeCell ref="Y27:AA27"/>
    <mergeCell ref="T31:T33"/>
    <mergeCell ref="V31:V33"/>
    <mergeCell ref="W31:W33"/>
    <mergeCell ref="X31:X33"/>
    <mergeCell ref="Z31:Z33"/>
    <mergeCell ref="AB31:AB33"/>
    <mergeCell ref="C28:D30"/>
    <mergeCell ref="F28:F30"/>
    <mergeCell ref="G28:G30"/>
    <mergeCell ref="H28:I30"/>
    <mergeCell ref="J28:J30"/>
    <mergeCell ref="K28:P30"/>
    <mergeCell ref="Q23:Q24"/>
    <mergeCell ref="R23:R24"/>
    <mergeCell ref="S23:S24"/>
    <mergeCell ref="C25:D27"/>
    <mergeCell ref="F25:F27"/>
    <mergeCell ref="C22:D24"/>
    <mergeCell ref="F22:F24"/>
    <mergeCell ref="Q28:X30"/>
    <mergeCell ref="Z25:Z26"/>
    <mergeCell ref="AA25:AA26"/>
    <mergeCell ref="AB25:AB26"/>
    <mergeCell ref="AC25:AC26"/>
    <mergeCell ref="Q25:Q26"/>
    <mergeCell ref="R25:R26"/>
    <mergeCell ref="U25:V26"/>
    <mergeCell ref="AC23:AC24"/>
    <mergeCell ref="V23:V24"/>
    <mergeCell ref="W23:W24"/>
    <mergeCell ref="X23:X24"/>
    <mergeCell ref="Y23:Y24"/>
    <mergeCell ref="Z23:Z24"/>
    <mergeCell ref="T23:T24"/>
    <mergeCell ref="AD25:AD26"/>
    <mergeCell ref="A13:C13"/>
    <mergeCell ref="D13:F14"/>
    <mergeCell ref="H13:I14"/>
    <mergeCell ref="AA23:AA24"/>
    <mergeCell ref="AB23:AB24"/>
    <mergeCell ref="G22:G24"/>
    <mergeCell ref="H22:I24"/>
    <mergeCell ref="L22:O22"/>
    <mergeCell ref="J23:K27"/>
    <mergeCell ref="L23:L25"/>
    <mergeCell ref="M23:O23"/>
    <mergeCell ref="M24:O24"/>
    <mergeCell ref="G25:G27"/>
    <mergeCell ref="H25:I27"/>
    <mergeCell ref="M25:O25"/>
    <mergeCell ref="L26:L27"/>
    <mergeCell ref="M26:P27"/>
    <mergeCell ref="P23:P25"/>
    <mergeCell ref="U23:U24"/>
    <mergeCell ref="S25:S26"/>
    <mergeCell ref="T25:T26"/>
    <mergeCell ref="W25:X26"/>
    <mergeCell ref="Y25:Y26"/>
    <mergeCell ref="AB2:AB4"/>
    <mergeCell ref="D1:I6"/>
    <mergeCell ref="K1:P1"/>
    <mergeCell ref="Q1:X1"/>
    <mergeCell ref="Y1:AD1"/>
    <mergeCell ref="J2:J4"/>
    <mergeCell ref="K2:O4"/>
    <mergeCell ref="R2:R4"/>
    <mergeCell ref="S2:S4"/>
    <mergeCell ref="T2:T4"/>
    <mergeCell ref="V2:V4"/>
    <mergeCell ref="AJ8:AK8"/>
    <mergeCell ref="AJ18:AK18"/>
    <mergeCell ref="AE23:AE24"/>
    <mergeCell ref="AE25:AE26"/>
    <mergeCell ref="AE31:AE33"/>
    <mergeCell ref="B48:B49"/>
    <mergeCell ref="C48:D49"/>
    <mergeCell ref="E48:E49"/>
    <mergeCell ref="F48:F49"/>
    <mergeCell ref="G48:I49"/>
    <mergeCell ref="L13:O13"/>
    <mergeCell ref="A14:C14"/>
    <mergeCell ref="A20:A21"/>
    <mergeCell ref="L20:O20"/>
    <mergeCell ref="L21:O21"/>
    <mergeCell ref="L14:O14"/>
    <mergeCell ref="C15:C16"/>
    <mergeCell ref="F15:F16"/>
    <mergeCell ref="I15:I16"/>
    <mergeCell ref="L15:O15"/>
    <mergeCell ref="L16:O16"/>
    <mergeCell ref="L17:O17"/>
    <mergeCell ref="L18:O18"/>
    <mergeCell ref="L19:O19"/>
  </mergeCells>
  <conditionalFormatting sqref="C22:G35 D50:E50 Q34:T55 U34:X53 Y5:AD26 U5:X24 Q5:T26 C40:F40 E42 E44 E46 C48:F48 C49:D49 F49 C41:D47 F41:F47 Y34:AD55">
    <cfRule type="cellIs" dxfId="33" priority="5" operator="notEqual">
      <formula>""</formula>
    </cfRule>
  </conditionalFormatting>
  <conditionalFormatting sqref="H22:I35">
    <cfRule type="expression" dxfId="32" priority="4">
      <formula>LEN(C22)&gt;0</formula>
    </cfRule>
  </conditionalFormatting>
  <conditionalFormatting sqref="J34:P51 J5:P22">
    <cfRule type="cellIs" dxfId="31" priority="3" operator="notEqual">
      <formula>""</formula>
    </cfRule>
  </conditionalFormatting>
  <conditionalFormatting sqref="AC27">
    <cfRule type="cellIs" dxfId="30" priority="2" operator="notEqual">
      <formula>""</formula>
    </cfRule>
  </conditionalFormatting>
  <conditionalFormatting sqref="AC56">
    <cfRule type="cellIs" dxfId="29" priority="1" operator="notEqual">
      <formula>""</formula>
    </cfRule>
  </conditionalFormatting>
  <dataValidations count="16">
    <dataValidation type="list" allowBlank="1" showInputMessage="1" showErrorMessage="1" errorTitle="Spieler ist unbekannt" error="Die eingegebene Nummer entspricht keiner Nummer aus der Spieleraufstellung!" promptTitle="Assistent" prompt="Hier wird der Assistent des Torschütze der Gastmannschaft eingetragen!" sqref="S34:S55 W34:W53" xr:uid="{C614FD11-47A8-4DE5-AD4C-81A22E40823D}">
      <formula1>INDIRECT($AK$1&amp;"!A2:A19")</formula1>
    </dataValidation>
    <dataValidation type="list" allowBlank="1" showInputMessage="1" showErrorMessage="1" errorTitle="Spieler ist unbekannt" error="Die eingegebene Nummer entspricht keiner Nummer aus der Spieleraufstellung!" promptTitle="Assistent" prompt="Hier wird der Assistent des Torschütze der Heimmannschaft eingetragen!" sqref="S5:S26 W5:W24" xr:uid="{A9A3FBDB-A857-4218-89AD-3C1454395B5B}">
      <formula1>INDIRECT($AJ$1&amp;"!A2:A19")</formula1>
    </dataValidation>
    <dataValidation type="list" allowBlank="1" showInputMessage="1" showErrorMessage="1" errorTitle="Spieler ist unbekannt" error="Die eingegebene Nummer entspricht keiner Nummer aus der Spieleraufstellung!" promptTitle="Torschütze" prompt="Hier wird der Torschütze der Heimmannschaft eingetragen!" sqref="R5:R26 V5:V24" xr:uid="{1CEB2F3F-B798-4043-A0C5-CF776C2580EB}">
      <formula1>INDIRECT($AJ$1&amp;"!A2:A19")</formula1>
    </dataValidation>
    <dataValidation type="list" allowBlank="1" showInputMessage="1" showErrorMessage="1" errorTitle="Spieler ist unbekannt" error="Die eingegebene Nummer entspricht keiner Nummer aus der Spieleraufstellung!" promptTitle="Torschütze" prompt="Hier wird der Torschütze der Gastmannschaft eingetragen!" sqref="R34:R55 V34:V53" xr:uid="{273EEB43-19C5-428A-A0CE-7A8AC0A0A3EA}">
      <formula1>INDIRECT($AK$1&amp;"!A2:A19")</formula1>
    </dataValidation>
    <dataValidation type="list" allowBlank="1" showInputMessage="1" showErrorMessage="1" errorTitle="Spieler ist unbekannt" error="Die eingegebene Nummer entspricht keiner Nummer aus der Spieleraufstellung!" sqref="Z34:Z55" xr:uid="{7CB05E4D-A1C2-4E97-8CF6-D2686BADDF47}">
      <formula1>INDIRECT($AK$1&amp;"!A2:A19")</formula1>
    </dataValidation>
    <dataValidation type="list" allowBlank="1" showInputMessage="1" showErrorMessage="1" errorTitle="Spieler ist unbekannt" error="Die eingegebene Nummer entspricht keiner Nummer aus der Spieleraufstellung!" sqref="Z5:Z26" xr:uid="{B0BB4E28-B8DE-48FC-9566-ECE7405C871A}">
      <formula1>INDIRECT($AJ$1&amp;"!A2:A19")</formula1>
    </dataValidation>
    <dataValidation allowBlank="1" showInputMessage="1" showErrorMessage="1" promptTitle="Bemerkungen" prompt="Dieses Feld wird von den Schiedsrichtern ausgefüllt, falls Anmerkungen zum Spielverlauf vorgenommen werden müssen." sqref="D50:I55" xr:uid="{51245D50-5671-4AE4-B31D-9FE89F27C1A5}"/>
    <dataValidation allowBlank="1" showInputMessage="1" showErrorMessage="1" promptTitle="Lizenznummer" prompt="Hier wird die Lizenznummer in korrekter Schreibweise (mit Punkten etc.) eingetragen!" sqref="C22:D35" xr:uid="{97588DAF-3336-49B8-99AD-39FAD560C81F}"/>
    <dataValidation allowBlank="1" showInputMessage="1" showErrorMessage="1" promptTitle="Zuschauerzahl" prompt="Hier wird die Zuschauerzahl des Spiels eingetragen!" sqref="I19" xr:uid="{C7B200A3-0A80-457E-9A34-31010D6191D5}"/>
    <dataValidation allowBlank="1" showInputMessage="1" showErrorMessage="1" promptTitle="Endzeit" prompt="Hier wird die Endzeit des Spiels eingetragen! Beim Tragen wird die Uhrzeit ohne &quot;:&quot; eingegeben. Es reicht aus eine vierstelle Zahl zu verwenden!_x000a__x000a_Beispiel:_x000a_Uhrzeit 17:45 wird als 1745 eingetragen" sqref="F15:F16" xr:uid="{3DB4E483-69C0-4812-A837-50DA782BC743}"/>
    <dataValidation allowBlank="1" showInputMessage="1" showErrorMessage="1" promptTitle="Startzeit" prompt="Hier wird die Startzeit des Spiels eingetragen! Beim Tragen wird die Uhrzeit ohne &quot;:&quot; eingegeben. Es reicht aus eine vierstelle Zahl zu verwenden!_x000a__x000a_Beispiel:_x000a_Uhrzeit 17:45 wird als 1745 eingetragen" sqref="C15:C16" xr:uid="{A29FA801-49A4-4A18-8E78-9A3A26EC3129}"/>
    <dataValidation allowBlank="1" showInputMessage="1" showErrorMessage="1" promptTitle="Spielort" prompt="Hier wird der Spielort des aktuellen Spiels eingetragen." sqref="D13:F14" xr:uid="{EBEC5318-B7AA-49DD-99A5-393D5E956594}"/>
    <dataValidation allowBlank="1" showInputMessage="1" showErrorMessage="1" promptTitle="Spielnummer" prompt="Hier wird die Spielnummer eingetragen. Die Spielnummer ist im Excel-Export des Spielplans zu finden:_x000a_www.ishd.de/saison/2023/spielplan.xlsx" sqref="I15:I16" xr:uid="{CF333225-B16F-482A-B4EA-7B1AAA89396D}"/>
    <dataValidation allowBlank="1" showInputMessage="1" showErrorMessage="1" promptTitle="Spielzeit bei Strafen" prompt="Bitte trage hier die Spielzeit der Strafe ein. Beim Tragen wird die Spielzeit ohne &quot;:&quot; eingegeben. Es reicht aus eine vierstelle Zahl zu verwenden!_x000a__x000a_Beispiel:_x000a_Spielzeit 17:45 wird als 1745 eingetragen" sqref="Y5:Y26 Y34:Y55 AC34:AC55 AC5:AC26" xr:uid="{3F8EC7CB-53CE-48AC-B037-1AD89E696C7B}"/>
    <dataValidation allowBlank="1" showInputMessage="1" showErrorMessage="1" promptTitle="Spielzeit des Tors" prompt="Bitte trage hier die Spielzeit des Tors ein. Beim Tragen wird die Spielzeit ohne &quot;:&quot; eingegeben. Es reicht aus eine vierstelle Zahl zu verwenden!_x000a__x000a_Beispiel:_x000a_Spielzeit 17:45 wird als 1745 eingetragen" sqref="U34:U53 U5:U24 Q34:Q55 Q5:Q26" xr:uid="{13A4A119-F7BB-4C9D-8605-7D5EFDF23D15}"/>
    <dataValidation showInputMessage="1" showErrorMessage="1" sqref="AB25 AB5:AB23 AB54 AB34:AB52" xr:uid="{5872CEBD-8CA0-4D5F-91CA-A90E5607EA60}"/>
  </dataValidations>
  <printOptions horizontalCentered="1" verticalCentered="1"/>
  <pageMargins left="0" right="0" top="0.15748031496062992" bottom="3.937007874015748E-2" header="0" footer="0"/>
  <pageSetup paperSize="9" scale="72" orientation="landscape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840" r:id="rId4" name="Check Box 1568">
              <controlPr defaultSize="0" autoFill="0" autoLine="0" autoPict="0">
                <anchor moveWithCells="1">
                  <from>
                    <xdr:col>8</xdr:col>
                    <xdr:colOff>152400</xdr:colOff>
                    <xdr:row>54</xdr:row>
                    <xdr:rowOff>38100</xdr:rowOff>
                  </from>
                  <to>
                    <xdr:col>8</xdr:col>
                    <xdr:colOff>400050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1" r:id="rId5" name="Check Box 1569">
              <controlPr locked="0" defaultSize="0" autoFill="0" autoLine="0" autoPict="0">
                <anchor moveWithCells="1">
                  <from>
                    <xdr:col>11</xdr:col>
                    <xdr:colOff>1390650</xdr:colOff>
                    <xdr:row>5</xdr:row>
                    <xdr:rowOff>114300</xdr:rowOff>
                  </from>
                  <to>
                    <xdr:col>13</xdr:col>
                    <xdr:colOff>57150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2" r:id="rId6" name="Check Box 1570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114300</xdr:rowOff>
                  </from>
                  <to>
                    <xdr:col>14</xdr:col>
                    <xdr:colOff>66675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3" r:id="rId7" name="Check Box 1571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5</xdr:row>
                    <xdr:rowOff>114300</xdr:rowOff>
                  </from>
                  <to>
                    <xdr:col>15</xdr:col>
                    <xdr:colOff>57150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4" r:id="rId8" name="Check Box 1572">
              <controlPr locked="0" defaultSize="0" autoFill="0" autoLine="0" autoPict="0">
                <anchor moveWithCells="1">
                  <from>
                    <xdr:col>11</xdr:col>
                    <xdr:colOff>1390650</xdr:colOff>
                    <xdr:row>6</xdr:row>
                    <xdr:rowOff>114300</xdr:rowOff>
                  </from>
                  <to>
                    <xdr:col>13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5" r:id="rId9" name="Check Box 1573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114300</xdr:rowOff>
                  </from>
                  <to>
                    <xdr:col>14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6" r:id="rId10" name="Check Box 1574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6</xdr:row>
                    <xdr:rowOff>114300</xdr:rowOff>
                  </from>
                  <to>
                    <xdr:col>15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7" r:id="rId11" name="Check Box 157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25</xdr:row>
                    <xdr:rowOff>38100</xdr:rowOff>
                  </from>
                  <to>
                    <xdr:col>20</xdr:col>
                    <xdr:colOff>400050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8" r:id="rId12" name="Check Box 1576">
              <controlPr locked="0" defaultSize="0" autoFill="0" autoLine="0" autoPict="0">
                <anchor moveWithCells="1">
                  <from>
                    <xdr:col>21</xdr:col>
                    <xdr:colOff>19050</xdr:colOff>
                    <xdr:row>25</xdr:row>
                    <xdr:rowOff>38100</xdr:rowOff>
                  </from>
                  <to>
                    <xdr:col>22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9" r:id="rId13" name="Check Box 1577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38100</xdr:rowOff>
                  </from>
                  <to>
                    <xdr:col>23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0" r:id="rId14" name="Check Box 1578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25</xdr:row>
                    <xdr:rowOff>38100</xdr:rowOff>
                  </from>
                  <to>
                    <xdr:col>24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1" r:id="rId15" name="Check Box 157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54</xdr:row>
                    <xdr:rowOff>38100</xdr:rowOff>
                  </from>
                  <to>
                    <xdr:col>20</xdr:col>
                    <xdr:colOff>400050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2" r:id="rId16" name="Check Box 1580">
              <controlPr locked="0" defaultSize="0" autoFill="0" autoLine="0" autoPict="0">
                <anchor moveWithCells="1">
                  <from>
                    <xdr:col>21</xdr:col>
                    <xdr:colOff>19050</xdr:colOff>
                    <xdr:row>54</xdr:row>
                    <xdr:rowOff>38100</xdr:rowOff>
                  </from>
                  <to>
                    <xdr:col>22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3" r:id="rId17" name="Check Box 158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54</xdr:row>
                    <xdr:rowOff>38100</xdr:rowOff>
                  </from>
                  <to>
                    <xdr:col>23</xdr:col>
                    <xdr:colOff>19050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4" r:id="rId18" name="Check Box 1582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54</xdr:row>
                    <xdr:rowOff>38100</xdr:rowOff>
                  </from>
                  <to>
                    <xdr:col>24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5" r:id="rId19" name="Check Box 1583">
              <controlPr locked="0" defaultSize="0" autoFill="0" autoLine="0" autoPict="0">
                <anchor moveWithCells="1">
                  <from>
                    <xdr:col>11</xdr:col>
                    <xdr:colOff>1390650</xdr:colOff>
                    <xdr:row>34</xdr:row>
                    <xdr:rowOff>114300</xdr:rowOff>
                  </from>
                  <to>
                    <xdr:col>13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6" r:id="rId20" name="Check Box 1584">
              <controlPr locked="0" defaultSize="0" autoFill="0" autoLine="0" autoPict="0">
                <anchor moveWithCells="1">
                  <from>
                    <xdr:col>11</xdr:col>
                    <xdr:colOff>1390650</xdr:colOff>
                    <xdr:row>35</xdr:row>
                    <xdr:rowOff>123825</xdr:rowOff>
                  </from>
                  <to>
                    <xdr:col>13</xdr:col>
                    <xdr:colOff>57150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7" r:id="rId21" name="Check Box 1585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34</xdr:row>
                    <xdr:rowOff>114300</xdr:rowOff>
                  </from>
                  <to>
                    <xdr:col>14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8" r:id="rId22" name="Check Box 1586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35</xdr:row>
                    <xdr:rowOff>123825</xdr:rowOff>
                  </from>
                  <to>
                    <xdr:col>14</xdr:col>
                    <xdr:colOff>57150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9" r:id="rId23" name="Check Box 1587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34</xdr:row>
                    <xdr:rowOff>114300</xdr:rowOff>
                  </from>
                  <to>
                    <xdr:col>15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0" r:id="rId24" name="Check Box 1588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35</xdr:row>
                    <xdr:rowOff>123825</xdr:rowOff>
                  </from>
                  <to>
                    <xdr:col>15</xdr:col>
                    <xdr:colOff>57150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1" r:id="rId25" name="ResetButton">
              <controlPr defaultSize="0" print="0" autoFill="0" autoPict="0" macro="[0]!Spielbericht_Reset">
                <anchor moveWithCells="1">
                  <from>
                    <xdr:col>32</xdr:col>
                    <xdr:colOff>9525</xdr:colOff>
                    <xdr:row>1</xdr:row>
                    <xdr:rowOff>0</xdr:rowOff>
                  </from>
                  <to>
                    <xdr:col>34</xdr:col>
                    <xdr:colOff>9525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2" r:id="rId26" name="Option Button 1590">
              <controlPr defaultSize="0" autoFill="0" autoLine="0" autoPict="0">
                <anchor moveWithCells="1">
                  <from>
                    <xdr:col>5</xdr:col>
                    <xdr:colOff>257175</xdr:colOff>
                    <xdr:row>15</xdr:row>
                    <xdr:rowOff>104775</xdr:rowOff>
                  </from>
                  <to>
                    <xdr:col>5</xdr:col>
                    <xdr:colOff>523875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3" r:id="rId27" name="Option Button 1591">
              <controlPr defaultSize="0" autoFill="0" autoLine="0" autoPict="0">
                <anchor moveWithCells="1">
                  <from>
                    <xdr:col>5</xdr:col>
                    <xdr:colOff>257175</xdr:colOff>
                    <xdr:row>17</xdr:row>
                    <xdr:rowOff>114300</xdr:rowOff>
                  </from>
                  <to>
                    <xdr:col>5</xdr:col>
                    <xdr:colOff>523875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4" r:id="rId28" name="Option Button 1592">
              <controlPr defaultSize="0" autoFill="0" autoLine="0" autoPict="0">
                <anchor moveWithCells="1">
                  <from>
                    <xdr:col>8</xdr:col>
                    <xdr:colOff>161925</xdr:colOff>
                    <xdr:row>15</xdr:row>
                    <xdr:rowOff>114300</xdr:rowOff>
                  </from>
                  <to>
                    <xdr:col>8</xdr:col>
                    <xdr:colOff>428625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5" r:id="rId29" name="Option Button 1593">
              <controlPr defaultSize="0" autoFill="0" autoLine="0" autoPict="0">
                <anchor moveWithCells="1">
                  <from>
                    <xdr:col>8</xdr:col>
                    <xdr:colOff>161925</xdr:colOff>
                    <xdr:row>16</xdr:row>
                    <xdr:rowOff>114300</xdr:rowOff>
                  </from>
                  <to>
                    <xdr:col>8</xdr:col>
                    <xdr:colOff>428625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6" r:id="rId30" name="Option Button 1594">
              <controlPr defaultSize="0" autoFill="0" autoLine="0" autoPict="0">
                <anchor moveWithCells="1">
                  <from>
                    <xdr:col>5</xdr:col>
                    <xdr:colOff>257175</xdr:colOff>
                    <xdr:row>16</xdr:row>
                    <xdr:rowOff>114300</xdr:rowOff>
                  </from>
                  <to>
                    <xdr:col>5</xdr:col>
                    <xdr:colOff>523875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trafzeitencodes" prompt="Die einzelnen Strafen können aus dem Formblatt &quot;Strafzeiten-Codes&quot; abgeleitet werden!" xr:uid="{99FB761F-DF8E-4D69-AE7F-D6DEC8770281}">
          <x14:formula1>
            <xm:f>Daten!$A$2:$A$26</xm:f>
          </x14:formula1>
          <xm:sqref>AD5:AD26 AD34:AD55</xm:sqref>
        </x14:dataValidation>
        <x14:dataValidation type="list" allowBlank="1" showInputMessage="1" showErrorMessage="1" errorTitle="Strafe nicht möglich!" error="Die eingegebene Strafe ist nicht möglich! Bitte frage den Schiedrichter nach der korrekten Eingabe/Strafe." xr:uid="{7B7EFDE3-D23F-4CE5-87EA-5EDAE881F424}">
          <x14:formula1>
            <xm:f>Daten!$B$2:$B$11</xm:f>
          </x14:formula1>
          <xm:sqref>AA5:AA26 AA34:AA55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2166-7308-4260-8660-6200368E568A}">
  <sheetPr codeName="Tabelle16">
    <tabColor rgb="FFFF0000"/>
    <pageSetUpPr fitToPage="1"/>
  </sheetPr>
  <dimension ref="A1:AB58"/>
  <sheetViews>
    <sheetView showGridLines="0" showRowColHeaders="0" topLeftCell="A7" zoomScale="145" zoomScaleNormal="145" workbookViewId="0">
      <selection activeCell="T17" sqref="T17:U17"/>
    </sheetView>
  </sheetViews>
  <sheetFormatPr baseColWidth="10" defaultColWidth="10.7109375" defaultRowHeight="15"/>
  <cols>
    <col min="1" max="1" width="5.7109375" style="102" customWidth="1"/>
    <col min="2" max="2" width="1.42578125" style="102" customWidth="1"/>
    <col min="3" max="3" width="5.7109375" style="102" customWidth="1"/>
    <col min="4" max="4" width="8.28515625" style="102" customWidth="1"/>
    <col min="5" max="5" width="1.42578125" style="102" customWidth="1"/>
    <col min="6" max="6" width="10.7109375" style="102"/>
    <col min="7" max="7" width="1.42578125" style="102" customWidth="1"/>
    <col min="8" max="8" width="8.7109375" style="102" customWidth="1"/>
    <col min="9" max="10" width="1.42578125" style="102" customWidth="1"/>
    <col min="11" max="11" width="3.7109375" style="102" customWidth="1"/>
    <col min="12" max="12" width="2.85546875" style="102" customWidth="1"/>
    <col min="13" max="13" width="4.42578125" style="102" customWidth="1"/>
    <col min="14" max="14" width="4.85546875" style="102" customWidth="1"/>
    <col min="15" max="15" width="1.42578125" style="102" customWidth="1"/>
    <col min="16" max="16" width="1.28515625" style="102" customWidth="1"/>
    <col min="17" max="17" width="4" style="102" customWidth="1"/>
    <col min="18" max="18" width="2.85546875" style="102" customWidth="1"/>
    <col min="19" max="19" width="6.7109375" style="102" customWidth="1"/>
    <col min="20" max="20" width="7.5703125" style="102" customWidth="1"/>
    <col min="21" max="21" width="10.140625" style="102" customWidth="1"/>
    <col min="22" max="22" width="1.42578125" style="102" customWidth="1"/>
    <col min="23" max="23" width="6.28515625" style="102" customWidth="1"/>
    <col min="24" max="24" width="3.42578125" style="102" customWidth="1"/>
    <col min="25" max="25" width="1.42578125" style="102" customWidth="1"/>
    <col min="26" max="27" width="11.140625" style="102" customWidth="1"/>
    <col min="28" max="28" width="1.42578125" style="102" customWidth="1"/>
    <col min="29" max="16384" width="10.7109375" style="102"/>
  </cols>
  <sheetData>
    <row r="1" spans="1:28" ht="23.25" customHeight="1">
      <c r="A1" s="747" t="s">
        <v>255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348"/>
      <c r="P1" s="355"/>
      <c r="Q1" s="355"/>
      <c r="Y1" s="164"/>
      <c r="Z1" s="382" t="s">
        <v>208</v>
      </c>
      <c r="AA1" s="382"/>
      <c r="AB1" s="167"/>
    </row>
    <row r="2" spans="1:28" ht="12.75" customHeight="1">
      <c r="A2" s="747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348"/>
      <c r="P2" s="355"/>
      <c r="Q2" s="355"/>
      <c r="Y2" s="165"/>
      <c r="Z2" s="162"/>
      <c r="AA2" s="162"/>
      <c r="AB2" s="168"/>
    </row>
    <row r="3" spans="1:28" ht="18" customHeight="1">
      <c r="A3" s="748" t="s">
        <v>88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349"/>
      <c r="P3" s="159"/>
      <c r="Q3" s="159"/>
      <c r="Y3" s="165"/>
      <c r="Z3" s="162"/>
      <c r="AA3" s="162"/>
      <c r="AB3" s="168"/>
    </row>
    <row r="4" spans="1:28" ht="15.75" thickBot="1">
      <c r="C4" s="103"/>
      <c r="Y4" s="166"/>
      <c r="Z4" s="163"/>
      <c r="AA4" s="163"/>
      <c r="AB4" s="169"/>
    </row>
    <row r="5" spans="1:28">
      <c r="C5" s="103"/>
    </row>
    <row r="6" spans="1:28">
      <c r="C6" s="103"/>
      <c r="Z6" s="249" t="s">
        <v>272</v>
      </c>
      <c r="AA6" s="251" t="s">
        <v>348</v>
      </c>
    </row>
    <row r="7" spans="1:28">
      <c r="C7" s="103"/>
    </row>
    <row r="8" spans="1:28" ht="17.25" customHeight="1">
      <c r="B8" s="750" t="str">
        <f>IF(Spielbericht!D13="","",Spielbericht!D13)</f>
        <v>a-Heim</v>
      </c>
      <c r="C8" s="750"/>
      <c r="D8" s="750"/>
      <c r="E8" s="750"/>
      <c r="F8" s="750"/>
      <c r="H8" s="745" t="str">
        <f ca="1">IF(Spielbericht!I9="","",Spielbericht!I9)</f>
        <v>AB</v>
      </c>
      <c r="I8" s="745"/>
      <c r="J8" s="745"/>
      <c r="M8" s="745" t="str">
        <f>IF(Spielbericht!H13="","",Spielbericht!H13)</f>
        <v/>
      </c>
      <c r="N8" s="745"/>
      <c r="O8" s="357"/>
      <c r="R8" s="746" t="s">
        <v>153</v>
      </c>
      <c r="S8" s="746"/>
      <c r="T8" s="746"/>
      <c r="U8" s="746"/>
      <c r="V8" s="347"/>
      <c r="W8" s="744">
        <f ca="1">YEAR(TODAY())</f>
        <v>2024</v>
      </c>
    </row>
    <row r="9" spans="1:28" ht="18" customHeight="1">
      <c r="B9" s="751" t="s">
        <v>89</v>
      </c>
      <c r="C9" s="751"/>
      <c r="D9" s="751"/>
      <c r="E9" s="751"/>
      <c r="F9" s="751"/>
      <c r="H9" s="741" t="s">
        <v>138</v>
      </c>
      <c r="I9" s="741"/>
      <c r="J9" s="741"/>
      <c r="M9" s="741" t="s">
        <v>90</v>
      </c>
      <c r="N9" s="741"/>
      <c r="O9" s="181"/>
      <c r="P9" s="337"/>
      <c r="Q9" s="337"/>
      <c r="R9" s="746"/>
      <c r="S9" s="746"/>
      <c r="T9" s="746"/>
      <c r="U9" s="746"/>
      <c r="V9" s="347"/>
      <c r="W9" s="744"/>
    </row>
    <row r="10" spans="1:28" ht="18.75">
      <c r="B10" s="752" t="str">
        <f ca="1">IF(Spielbericht!D9="","",Spielbericht!D9)</f>
        <v>a-Team 1</v>
      </c>
      <c r="C10" s="752"/>
      <c r="D10" s="752"/>
      <c r="E10" s="752"/>
      <c r="F10" s="752"/>
      <c r="G10" s="196" t="s">
        <v>91</v>
      </c>
      <c r="H10" s="752" t="str">
        <f ca="1">IF(Spielbericht!D11="","",Spielbericht!D11)</f>
        <v>b-Team 2</v>
      </c>
      <c r="I10" s="752"/>
      <c r="J10" s="752"/>
      <c r="K10" s="752"/>
      <c r="L10" s="752"/>
      <c r="M10" s="752"/>
      <c r="N10" s="752"/>
      <c r="O10" s="354"/>
      <c r="R10" s="742" t="s">
        <v>214</v>
      </c>
      <c r="S10" s="742"/>
      <c r="T10" s="358" t="str">
        <f>IF(Spielbericht!I15="","",Spielbericht!I15)</f>
        <v/>
      </c>
      <c r="V10" s="359"/>
      <c r="W10" s="744"/>
    </row>
    <row r="11" spans="1:28" ht="21.75" customHeight="1" thickBot="1">
      <c r="B11" s="751" t="s">
        <v>92</v>
      </c>
      <c r="C11" s="751"/>
      <c r="D11" s="751"/>
      <c r="E11" s="751"/>
      <c r="F11" s="751"/>
      <c r="G11" s="351"/>
      <c r="H11" s="751" t="s">
        <v>93</v>
      </c>
      <c r="I11" s="751"/>
      <c r="J11" s="751"/>
      <c r="K11" s="751"/>
      <c r="L11" s="751"/>
      <c r="M11" s="751"/>
      <c r="N11" s="751"/>
      <c r="O11" s="351"/>
      <c r="P11" s="337"/>
      <c r="Q11" s="337"/>
      <c r="R11" s="738" t="s">
        <v>152</v>
      </c>
      <c r="S11" s="738"/>
      <c r="T11" s="738"/>
      <c r="U11" s="738"/>
      <c r="V11" s="360"/>
      <c r="W11" s="744"/>
    </row>
    <row r="12" spans="1:28" ht="12" customHeight="1" thickBot="1">
      <c r="B12" s="189" t="str">
        <f>IF(Setup!$B$8="Meisterschaft","X","")</f>
        <v>X</v>
      </c>
      <c r="C12" s="749" t="s">
        <v>250</v>
      </c>
      <c r="D12" s="749"/>
      <c r="E12" s="189" t="str">
        <f>IF(Setup!$B$8="Pokal","X","")</f>
        <v/>
      </c>
      <c r="F12" s="350" t="s">
        <v>252</v>
      </c>
      <c r="G12" s="189" t="str">
        <f>IF(Setup!$B$8="Turnier","X","")</f>
        <v/>
      </c>
      <c r="H12" s="350" t="s">
        <v>253</v>
      </c>
      <c r="I12" s="350"/>
      <c r="J12" s="189" t="str">
        <f>IF(OR(Setup!$B$8="Freundschaft",Setup!$B$8="Sonstiges"),"X","")</f>
        <v/>
      </c>
      <c r="K12" s="191" t="s">
        <v>254</v>
      </c>
      <c r="L12" s="356"/>
      <c r="M12" s="190"/>
      <c r="N12" s="190"/>
      <c r="O12" s="190"/>
      <c r="P12" s="105"/>
      <c r="Q12" s="105"/>
      <c r="R12" s="738"/>
      <c r="S12" s="738"/>
      <c r="T12" s="738"/>
      <c r="U12" s="738"/>
      <c r="V12" s="360"/>
      <c r="W12" s="744"/>
    </row>
    <row r="13" spans="1:28" ht="6.75" customHeight="1">
      <c r="G13" s="351"/>
      <c r="H13" s="106"/>
      <c r="I13" s="106"/>
      <c r="J13" s="106"/>
      <c r="P13" s="105"/>
      <c r="Q13" s="105"/>
    </row>
    <row r="14" spans="1:28" ht="18.75">
      <c r="C14" s="717" t="s">
        <v>154</v>
      </c>
      <c r="D14" s="717"/>
      <c r="E14" s="717"/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  <c r="R14" s="717"/>
      <c r="S14" s="717"/>
      <c r="T14" s="717"/>
      <c r="U14" s="717"/>
      <c r="V14" s="341"/>
      <c r="W14" s="107"/>
    </row>
    <row r="15" spans="1:28">
      <c r="C15" s="718" t="s">
        <v>155</v>
      </c>
      <c r="D15" s="718"/>
      <c r="E15" s="718"/>
      <c r="F15" s="718"/>
      <c r="G15" s="718"/>
      <c r="H15" s="718"/>
      <c r="I15" s="718"/>
      <c r="J15" s="718"/>
      <c r="K15" s="718"/>
      <c r="L15" s="340"/>
      <c r="N15" s="718" t="s">
        <v>156</v>
      </c>
      <c r="O15" s="718"/>
      <c r="P15" s="718"/>
      <c r="Q15" s="718"/>
      <c r="R15" s="718"/>
      <c r="S15" s="718"/>
      <c r="T15" s="718"/>
      <c r="U15" s="718"/>
      <c r="V15" s="340"/>
    </row>
    <row r="16" spans="1:28">
      <c r="C16" s="715" t="s">
        <v>175</v>
      </c>
      <c r="D16" s="716"/>
      <c r="E16" s="716"/>
      <c r="F16" s="716"/>
      <c r="G16" s="716"/>
      <c r="H16" s="716"/>
      <c r="I16" s="716"/>
      <c r="J16" s="716"/>
      <c r="K16" s="716"/>
      <c r="L16" s="336"/>
      <c r="M16" s="335"/>
      <c r="N16" s="715" t="s">
        <v>264</v>
      </c>
      <c r="O16" s="715"/>
      <c r="P16" s="715"/>
      <c r="Q16" s="715"/>
      <c r="R16" s="715"/>
      <c r="S16" s="715"/>
      <c r="T16" s="715"/>
      <c r="U16" s="715"/>
      <c r="V16" s="335"/>
    </row>
    <row r="17" spans="1:22">
      <c r="C17" s="715" t="s">
        <v>162</v>
      </c>
      <c r="D17" s="716"/>
      <c r="E17" s="716"/>
      <c r="F17" s="716"/>
      <c r="G17" s="716"/>
      <c r="H17" s="716"/>
      <c r="I17" s="716"/>
      <c r="J17" s="716"/>
      <c r="K17" s="716"/>
      <c r="L17" s="336"/>
      <c r="M17" s="335"/>
      <c r="N17" s="740" t="s">
        <v>179</v>
      </c>
      <c r="O17" s="740"/>
      <c r="P17" s="740"/>
      <c r="Q17" s="740"/>
      <c r="R17" s="740"/>
      <c r="S17" s="740"/>
      <c r="T17" s="739" t="s">
        <v>322</v>
      </c>
      <c r="U17" s="739"/>
      <c r="V17" s="335"/>
    </row>
    <row r="18" spans="1:22">
      <c r="C18" s="715" t="s">
        <v>176</v>
      </c>
      <c r="D18" s="716"/>
      <c r="E18" s="716"/>
      <c r="F18" s="716"/>
      <c r="G18" s="716"/>
      <c r="H18" s="716"/>
      <c r="I18" s="716"/>
      <c r="J18" s="716"/>
      <c r="K18" s="716"/>
      <c r="L18" s="336"/>
      <c r="M18" s="335"/>
      <c r="N18" s="715" t="s">
        <v>275</v>
      </c>
      <c r="O18" s="715"/>
      <c r="P18" s="715"/>
      <c r="Q18" s="715"/>
      <c r="R18" s="715"/>
      <c r="S18" s="715"/>
      <c r="T18" s="715"/>
      <c r="U18" s="715"/>
      <c r="V18" s="335"/>
    </row>
    <row r="19" spans="1:22">
      <c r="A19" s="743"/>
      <c r="B19" s="743"/>
      <c r="C19" s="743"/>
      <c r="D19" s="715" t="s">
        <v>163</v>
      </c>
      <c r="E19" s="715"/>
      <c r="F19" s="715"/>
      <c r="G19" s="715"/>
      <c r="H19" s="715"/>
      <c r="I19" s="715"/>
      <c r="J19" s="715"/>
      <c r="K19" s="715"/>
      <c r="L19" s="335"/>
      <c r="M19" s="335"/>
      <c r="N19" s="715" t="s">
        <v>170</v>
      </c>
      <c r="O19" s="715"/>
      <c r="P19" s="715"/>
      <c r="Q19" s="715"/>
      <c r="R19" s="715"/>
      <c r="S19" s="715"/>
      <c r="T19" s="715"/>
      <c r="U19" s="715"/>
      <c r="V19" s="335"/>
    </row>
    <row r="20" spans="1:22">
      <c r="A20" s="743"/>
      <c r="B20" s="743"/>
      <c r="C20" s="743"/>
      <c r="D20" s="715" t="s">
        <v>164</v>
      </c>
      <c r="E20" s="715"/>
      <c r="F20" s="715"/>
      <c r="G20" s="715"/>
      <c r="H20" s="715"/>
      <c r="I20" s="715"/>
      <c r="J20" s="715"/>
      <c r="K20" s="715"/>
      <c r="L20" s="335"/>
      <c r="M20" s="335"/>
      <c r="N20" s="715" t="s">
        <v>171</v>
      </c>
      <c r="O20" s="715"/>
      <c r="P20" s="715"/>
      <c r="Q20" s="715"/>
      <c r="R20" s="715"/>
      <c r="S20" s="715"/>
      <c r="T20" s="715"/>
      <c r="U20" s="715"/>
      <c r="V20" s="335"/>
    </row>
    <row r="21" spans="1:22">
      <c r="A21" s="743"/>
      <c r="B21" s="743"/>
      <c r="C21" s="743"/>
      <c r="D21" s="715" t="s">
        <v>165</v>
      </c>
      <c r="E21" s="715"/>
      <c r="F21" s="715"/>
      <c r="G21" s="715"/>
      <c r="H21" s="715"/>
      <c r="I21" s="715"/>
      <c r="J21" s="715"/>
      <c r="K21" s="715"/>
      <c r="L21" s="335"/>
      <c r="M21" s="335"/>
      <c r="N21" s="715" t="s">
        <v>276</v>
      </c>
      <c r="O21" s="715"/>
      <c r="P21" s="715"/>
      <c r="Q21" s="715"/>
      <c r="R21" s="715"/>
      <c r="S21" s="715"/>
      <c r="T21" s="715"/>
      <c r="U21" s="715"/>
      <c r="V21" s="335"/>
    </row>
    <row r="22" spans="1:22">
      <c r="A22" s="743"/>
      <c r="B22" s="743"/>
      <c r="C22" s="743"/>
      <c r="D22" s="715" t="s">
        <v>166</v>
      </c>
      <c r="E22" s="715"/>
      <c r="F22" s="715"/>
      <c r="G22" s="715"/>
      <c r="H22" s="715"/>
      <c r="I22" s="715"/>
      <c r="J22" s="715"/>
      <c r="K22" s="715"/>
      <c r="L22" s="335"/>
      <c r="M22" s="335"/>
      <c r="N22" s="715" t="s">
        <v>172</v>
      </c>
      <c r="O22" s="715"/>
      <c r="P22" s="715"/>
      <c r="Q22" s="715"/>
      <c r="R22" s="715"/>
      <c r="S22" s="715"/>
      <c r="T22" s="715"/>
      <c r="U22" s="715"/>
      <c r="V22" s="335"/>
    </row>
    <row r="23" spans="1:22">
      <c r="A23" s="743"/>
      <c r="B23" s="743"/>
      <c r="C23" s="743"/>
      <c r="D23" s="715" t="s">
        <v>167</v>
      </c>
      <c r="E23" s="715"/>
      <c r="F23" s="715"/>
      <c r="G23" s="715"/>
      <c r="H23" s="715"/>
      <c r="I23" s="715"/>
      <c r="J23" s="715"/>
      <c r="K23" s="715"/>
      <c r="L23" s="335"/>
      <c r="M23" s="335"/>
      <c r="N23" s="715" t="s">
        <v>173</v>
      </c>
      <c r="O23" s="715"/>
      <c r="P23" s="715"/>
      <c r="Q23" s="715"/>
      <c r="R23" s="715"/>
      <c r="S23" s="715"/>
      <c r="T23" s="715"/>
      <c r="U23" s="715"/>
      <c r="V23" s="335"/>
    </row>
    <row r="24" spans="1:22">
      <c r="A24" s="743"/>
      <c r="B24" s="743"/>
      <c r="C24" s="743"/>
      <c r="D24" s="715" t="s">
        <v>168</v>
      </c>
      <c r="E24" s="715"/>
      <c r="F24" s="715"/>
      <c r="G24" s="715"/>
      <c r="H24" s="715"/>
      <c r="I24" s="715"/>
      <c r="J24" s="715"/>
      <c r="K24" s="715"/>
      <c r="L24" s="335"/>
      <c r="M24" s="335"/>
      <c r="N24" s="715" t="s">
        <v>177</v>
      </c>
      <c r="O24" s="715"/>
      <c r="P24" s="715"/>
      <c r="Q24" s="715"/>
      <c r="R24" s="715"/>
      <c r="S24" s="715"/>
      <c r="T24" s="715"/>
      <c r="U24" s="715"/>
      <c r="V24" s="335"/>
    </row>
    <row r="25" spans="1:22">
      <c r="C25" s="720" t="s">
        <v>169</v>
      </c>
      <c r="D25" s="716"/>
      <c r="E25" s="716"/>
      <c r="F25" s="716"/>
      <c r="G25" s="716"/>
      <c r="H25" s="716"/>
      <c r="I25" s="716"/>
      <c r="J25" s="716"/>
      <c r="K25" s="716"/>
      <c r="L25" s="336"/>
      <c r="M25" s="335"/>
      <c r="O25" s="715" t="s">
        <v>178</v>
      </c>
      <c r="P25" s="715"/>
      <c r="Q25" s="715"/>
      <c r="R25" s="715"/>
      <c r="S25" s="715"/>
      <c r="T25" s="715"/>
      <c r="U25" s="715"/>
      <c r="V25" s="335"/>
    </row>
    <row r="26" spans="1:22">
      <c r="C26" s="715"/>
      <c r="D26" s="716"/>
      <c r="E26" s="716"/>
      <c r="F26" s="716"/>
      <c r="G26" s="716"/>
      <c r="H26" s="716"/>
      <c r="I26" s="716"/>
      <c r="J26" s="716"/>
      <c r="K26" s="716"/>
      <c r="L26" s="336"/>
      <c r="M26" s="335"/>
      <c r="O26" s="715" t="s">
        <v>174</v>
      </c>
      <c r="P26" s="715"/>
      <c r="Q26" s="715"/>
      <c r="R26" s="715"/>
      <c r="S26" s="715"/>
      <c r="T26" s="715"/>
      <c r="U26" s="715"/>
      <c r="V26" s="335"/>
    </row>
    <row r="27" spans="1:22" ht="4.5" customHeight="1"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8.75">
      <c r="C28" s="717" t="s">
        <v>157</v>
      </c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341"/>
    </row>
    <row r="29" spans="1:22">
      <c r="C29" s="718" t="s">
        <v>158</v>
      </c>
      <c r="D29" s="718"/>
      <c r="E29" s="718"/>
      <c r="F29" s="718"/>
      <c r="G29" s="718"/>
      <c r="H29" s="718"/>
      <c r="I29" s="718"/>
      <c r="J29" s="718"/>
      <c r="K29" s="718"/>
      <c r="L29" s="340"/>
      <c r="N29" s="718" t="s">
        <v>159</v>
      </c>
      <c r="O29" s="718"/>
      <c r="P29" s="718"/>
      <c r="Q29" s="718"/>
      <c r="R29" s="718"/>
      <c r="S29" s="718"/>
      <c r="T29" s="718"/>
      <c r="U29" s="718"/>
      <c r="V29" s="340"/>
    </row>
    <row r="30" spans="1:22">
      <c r="C30" s="715" t="s">
        <v>180</v>
      </c>
      <c r="D30" s="716"/>
      <c r="E30" s="716"/>
      <c r="F30" s="716"/>
      <c r="G30" s="716"/>
      <c r="H30" s="716"/>
      <c r="I30" s="716"/>
      <c r="J30" s="716"/>
      <c r="K30" s="716"/>
      <c r="L30" s="336"/>
      <c r="N30" s="715" t="s">
        <v>188</v>
      </c>
      <c r="O30" s="715"/>
      <c r="P30" s="715"/>
      <c r="Q30" s="715"/>
      <c r="R30" s="715"/>
      <c r="S30" s="715"/>
      <c r="T30" s="715"/>
      <c r="U30" s="715"/>
      <c r="V30" s="335"/>
    </row>
    <row r="31" spans="1:22">
      <c r="C31" s="715" t="s">
        <v>181</v>
      </c>
      <c r="D31" s="716"/>
      <c r="E31" s="716"/>
      <c r="F31" s="716"/>
      <c r="G31" s="716"/>
      <c r="H31" s="716"/>
      <c r="I31" s="716"/>
      <c r="J31" s="716"/>
      <c r="K31" s="716"/>
      <c r="L31" s="336"/>
      <c r="N31" s="715" t="s">
        <v>189</v>
      </c>
      <c r="O31" s="715"/>
      <c r="P31" s="715"/>
      <c r="Q31" s="715"/>
      <c r="R31" s="715"/>
      <c r="S31" s="715"/>
      <c r="T31" s="715"/>
      <c r="U31" s="715"/>
      <c r="V31" s="335"/>
    </row>
    <row r="32" spans="1:22">
      <c r="C32" s="715" t="s">
        <v>182</v>
      </c>
      <c r="D32" s="716"/>
      <c r="E32" s="716"/>
      <c r="F32" s="716"/>
      <c r="G32" s="716"/>
      <c r="H32" s="716"/>
      <c r="I32" s="716"/>
      <c r="J32" s="716"/>
      <c r="K32" s="716"/>
      <c r="L32" s="336"/>
      <c r="N32" s="715" t="s">
        <v>190</v>
      </c>
      <c r="O32" s="715"/>
      <c r="P32" s="715"/>
      <c r="Q32" s="715"/>
      <c r="R32" s="715"/>
      <c r="S32" s="715"/>
      <c r="T32" s="715"/>
      <c r="U32" s="715"/>
      <c r="V32" s="335"/>
    </row>
    <row r="33" spans="3:22">
      <c r="C33" s="715" t="s">
        <v>183</v>
      </c>
      <c r="D33" s="716"/>
      <c r="E33" s="716"/>
      <c r="F33" s="716"/>
      <c r="G33" s="716"/>
      <c r="H33" s="716"/>
      <c r="I33" s="716"/>
      <c r="J33" s="716"/>
      <c r="K33" s="716"/>
      <c r="L33" s="336"/>
      <c r="N33" s="715" t="s">
        <v>191</v>
      </c>
      <c r="O33" s="715"/>
      <c r="P33" s="715"/>
      <c r="Q33" s="715"/>
      <c r="R33" s="715"/>
      <c r="S33" s="715"/>
      <c r="T33" s="715"/>
      <c r="U33" s="715"/>
      <c r="V33" s="335"/>
    </row>
    <row r="34" spans="3:22">
      <c r="C34" s="715" t="s">
        <v>184</v>
      </c>
      <c r="D34" s="715"/>
      <c r="E34" s="715"/>
      <c r="F34" s="715"/>
      <c r="G34" s="715"/>
      <c r="H34" s="719"/>
      <c r="I34" s="719"/>
      <c r="J34" s="719"/>
      <c r="K34" s="719"/>
      <c r="L34" s="719"/>
      <c r="N34" s="715" t="s">
        <v>192</v>
      </c>
      <c r="O34" s="715"/>
      <c r="P34" s="715"/>
      <c r="Q34" s="715"/>
      <c r="R34" s="715"/>
      <c r="S34" s="715"/>
      <c r="T34" s="715"/>
      <c r="U34" s="715"/>
      <c r="V34" s="335"/>
    </row>
    <row r="35" spans="3:22">
      <c r="C35" s="715" t="s">
        <v>185</v>
      </c>
      <c r="D35" s="716"/>
      <c r="E35" s="716"/>
      <c r="F35" s="716"/>
      <c r="G35" s="716"/>
      <c r="H35" s="716"/>
      <c r="I35" s="716"/>
      <c r="J35" s="716"/>
      <c r="K35" s="716"/>
      <c r="L35" s="336"/>
      <c r="N35" s="715" t="s">
        <v>193</v>
      </c>
      <c r="O35" s="715"/>
      <c r="P35" s="715"/>
      <c r="Q35" s="715"/>
      <c r="R35" s="715"/>
      <c r="S35" s="715"/>
      <c r="T35" s="715"/>
      <c r="U35" s="715"/>
      <c r="V35" s="335"/>
    </row>
    <row r="36" spans="3:22">
      <c r="C36" s="715" t="s">
        <v>186</v>
      </c>
      <c r="D36" s="716"/>
      <c r="E36" s="716"/>
      <c r="F36" s="716"/>
      <c r="G36" s="716"/>
      <c r="H36" s="716"/>
      <c r="I36" s="716"/>
      <c r="J36" s="716"/>
      <c r="K36" s="716"/>
      <c r="L36" s="336"/>
      <c r="N36" s="715" t="s">
        <v>194</v>
      </c>
      <c r="O36" s="715"/>
      <c r="P36" s="715"/>
      <c r="Q36" s="715"/>
      <c r="R36" s="715"/>
      <c r="S36" s="715"/>
      <c r="T36" s="715"/>
      <c r="U36" s="715"/>
      <c r="V36" s="335"/>
    </row>
    <row r="37" spans="3:22">
      <c r="C37" s="715" t="s">
        <v>187</v>
      </c>
      <c r="D37" s="716"/>
      <c r="E37" s="716"/>
      <c r="F37" s="716"/>
      <c r="G37" s="716"/>
      <c r="H37" s="716"/>
      <c r="I37" s="716"/>
      <c r="J37" s="716"/>
      <c r="K37" s="716"/>
      <c r="L37" s="336"/>
      <c r="N37" s="727" t="s">
        <v>195</v>
      </c>
      <c r="O37" s="727"/>
      <c r="P37" s="727"/>
      <c r="Q37" s="727"/>
      <c r="R37" s="727"/>
      <c r="S37" s="727"/>
      <c r="T37" s="727"/>
      <c r="U37" s="727"/>
      <c r="V37" s="345"/>
    </row>
    <row r="38" spans="3:22" ht="4.5" customHeight="1"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N38" s="101"/>
      <c r="O38" s="101"/>
      <c r="P38" s="101"/>
      <c r="Q38" s="101"/>
      <c r="R38" s="101"/>
      <c r="S38" s="101"/>
      <c r="T38" s="101"/>
      <c r="U38" s="101"/>
      <c r="V38" s="101"/>
    </row>
    <row r="39" spans="3:22" ht="18.75">
      <c r="C39" s="717" t="s">
        <v>160</v>
      </c>
      <c r="D39" s="717"/>
      <c r="E39" s="717"/>
      <c r="F39" s="717"/>
      <c r="G39" s="717"/>
      <c r="H39" s="717"/>
      <c r="I39" s="717"/>
      <c r="J39" s="717"/>
      <c r="K39" s="717"/>
      <c r="L39" s="717"/>
      <c r="M39" s="717"/>
      <c r="N39" s="717"/>
      <c r="O39" s="717"/>
      <c r="P39" s="717"/>
      <c r="Q39" s="717"/>
      <c r="R39" s="717"/>
      <c r="S39" s="717"/>
      <c r="T39" s="717"/>
      <c r="U39" s="717"/>
      <c r="V39" s="341"/>
    </row>
    <row r="40" spans="3:22">
      <c r="C40" s="718" t="s">
        <v>161</v>
      </c>
      <c r="D40" s="718"/>
      <c r="E40" s="718"/>
      <c r="F40" s="718"/>
      <c r="H40" s="361" t="s">
        <v>277</v>
      </c>
      <c r="I40" s="733"/>
      <c r="J40" s="734"/>
      <c r="K40" s="362" t="s">
        <v>278</v>
      </c>
      <c r="L40" s="363"/>
      <c r="M40" s="735" t="s">
        <v>279</v>
      </c>
      <c r="N40" s="736"/>
      <c r="O40" s="733"/>
      <c r="P40" s="734"/>
      <c r="Q40" s="362" t="s">
        <v>278</v>
      </c>
      <c r="R40" s="363"/>
    </row>
    <row r="41" spans="3:22" ht="10.5" customHeight="1">
      <c r="C41" s="720" t="s">
        <v>196</v>
      </c>
      <c r="D41" s="720"/>
      <c r="E41" s="720"/>
      <c r="F41" s="720"/>
      <c r="G41" s="720"/>
      <c r="H41" s="720"/>
      <c r="I41" s="720"/>
      <c r="J41" s="720"/>
      <c r="K41" s="720"/>
      <c r="L41" s="720"/>
      <c r="M41" s="720"/>
      <c r="N41" s="720"/>
      <c r="O41" s="720"/>
      <c r="P41" s="720"/>
      <c r="Q41" s="342"/>
      <c r="R41" s="342"/>
      <c r="S41" s="342"/>
      <c r="T41" s="342"/>
      <c r="U41" s="342"/>
      <c r="V41" s="342"/>
    </row>
    <row r="42" spans="3:22">
      <c r="C42" s="339"/>
      <c r="D42" s="339"/>
      <c r="E42" s="339"/>
      <c r="F42" s="732" t="s">
        <v>199</v>
      </c>
      <c r="G42" s="732"/>
      <c r="H42" s="732"/>
      <c r="I42" s="711" t="s">
        <v>273</v>
      </c>
      <c r="J42" s="711"/>
      <c r="K42" s="711"/>
      <c r="L42" s="711"/>
      <c r="M42" s="711"/>
      <c r="N42" s="711"/>
      <c r="O42" s="711"/>
      <c r="P42" s="711"/>
      <c r="Q42" s="710" t="s">
        <v>198</v>
      </c>
      <c r="R42" s="710"/>
      <c r="S42" s="710"/>
      <c r="T42" s="710"/>
      <c r="U42" s="346" t="s">
        <v>197</v>
      </c>
      <c r="V42" s="346"/>
    </row>
    <row r="43" spans="3:22">
      <c r="C43" s="728" t="s">
        <v>94</v>
      </c>
      <c r="D43" s="728"/>
      <c r="E43" s="339"/>
      <c r="F43" s="730"/>
      <c r="G43" s="730"/>
      <c r="H43" s="730"/>
      <c r="I43" s="712"/>
      <c r="J43" s="713"/>
      <c r="K43" s="713"/>
      <c r="L43" s="713"/>
      <c r="M43" s="713"/>
      <c r="N43" s="713"/>
      <c r="O43" s="713"/>
      <c r="P43" s="714"/>
      <c r="Q43" s="712"/>
      <c r="R43" s="713"/>
      <c r="S43" s="713"/>
      <c r="T43" s="714"/>
      <c r="U43" s="338">
        <f>F43+I43+Q43</f>
        <v>0</v>
      </c>
      <c r="V43" s="338"/>
    </row>
    <row r="44" spans="3:22">
      <c r="C44" s="728" t="s">
        <v>95</v>
      </c>
      <c r="D44" s="728"/>
      <c r="E44" s="339"/>
      <c r="F44" s="730"/>
      <c r="G44" s="730"/>
      <c r="H44" s="730"/>
      <c r="I44" s="712"/>
      <c r="J44" s="713"/>
      <c r="K44" s="713"/>
      <c r="L44" s="713"/>
      <c r="M44" s="713"/>
      <c r="N44" s="713"/>
      <c r="O44" s="713"/>
      <c r="P44" s="714"/>
      <c r="Q44" s="712"/>
      <c r="R44" s="713"/>
      <c r="S44" s="713"/>
      <c r="T44" s="714"/>
      <c r="U44" s="338">
        <f>F44+I44+Q44</f>
        <v>0</v>
      </c>
      <c r="V44" s="338"/>
    </row>
    <row r="45" spans="3:22">
      <c r="C45" s="729" t="s">
        <v>197</v>
      </c>
      <c r="D45" s="729"/>
      <c r="E45" s="346"/>
      <c r="F45" s="731">
        <f>F43+F44</f>
        <v>0</v>
      </c>
      <c r="G45" s="731"/>
      <c r="H45" s="731"/>
      <c r="I45" s="737">
        <f>I43+I44</f>
        <v>0</v>
      </c>
      <c r="J45" s="737"/>
      <c r="K45" s="737"/>
      <c r="L45" s="737"/>
      <c r="M45" s="737"/>
      <c r="N45" s="737"/>
      <c r="O45" s="737"/>
      <c r="P45" s="737"/>
      <c r="Q45" s="737">
        <f>Q43+Q44</f>
        <v>0</v>
      </c>
      <c r="R45" s="737"/>
      <c r="S45" s="737"/>
      <c r="T45" s="737"/>
      <c r="U45" s="338">
        <f>F45+I45+Q45</f>
        <v>0</v>
      </c>
      <c r="V45" s="338"/>
    </row>
    <row r="46" spans="3:22" ht="4.5" customHeight="1"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10"/>
      <c r="N46" s="109"/>
      <c r="O46" s="109"/>
      <c r="P46" s="109"/>
      <c r="Q46" s="109"/>
      <c r="R46" s="109"/>
      <c r="S46" s="109"/>
      <c r="T46" s="109"/>
      <c r="U46" s="109"/>
      <c r="V46" s="109"/>
    </row>
    <row r="47" spans="3:22">
      <c r="C47" s="715" t="s">
        <v>200</v>
      </c>
      <c r="D47" s="715"/>
      <c r="E47" s="715"/>
      <c r="F47" s="715"/>
      <c r="G47" s="715"/>
      <c r="H47" s="715"/>
      <c r="I47" s="715"/>
      <c r="J47" s="715"/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335"/>
    </row>
    <row r="48" spans="3:22" ht="10.5" customHeight="1">
      <c r="C48" s="720" t="s">
        <v>201</v>
      </c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720"/>
      <c r="O48" s="720"/>
      <c r="P48" s="720"/>
      <c r="Q48" s="720"/>
      <c r="R48" s="720"/>
      <c r="S48" s="720"/>
      <c r="T48" s="720"/>
      <c r="U48" s="720"/>
      <c r="V48" s="342"/>
    </row>
    <row r="49" spans="3:23" ht="4.5" customHeight="1">
      <c r="C49" s="111"/>
      <c r="F49" s="111"/>
      <c r="G49" s="111"/>
    </row>
    <row r="50" spans="3:23" ht="11.25" customHeight="1">
      <c r="C50" s="111"/>
      <c r="F50" s="111"/>
      <c r="G50" s="111"/>
    </row>
    <row r="52" spans="3:23">
      <c r="G52" s="100"/>
      <c r="H52" s="721"/>
      <c r="I52" s="721"/>
      <c r="J52" s="721"/>
      <c r="K52" s="721"/>
      <c r="L52" s="721"/>
      <c r="M52" s="721"/>
      <c r="N52" s="112"/>
      <c r="O52" s="112"/>
      <c r="P52" s="352"/>
      <c r="Q52" s="352"/>
      <c r="R52" s="721"/>
      <c r="S52" s="721"/>
      <c r="T52" s="721"/>
      <c r="U52" s="721"/>
      <c r="V52" s="343"/>
    </row>
    <row r="53" spans="3:23">
      <c r="G53" s="100"/>
      <c r="H53" s="722"/>
      <c r="I53" s="722"/>
      <c r="J53" s="722"/>
      <c r="K53" s="722"/>
      <c r="L53" s="722"/>
      <c r="M53" s="722"/>
      <c r="N53" s="112"/>
      <c r="O53" s="112"/>
      <c r="P53" s="352"/>
      <c r="Q53" s="352"/>
      <c r="R53" s="722"/>
      <c r="S53" s="722"/>
      <c r="T53" s="722"/>
      <c r="U53" s="722"/>
      <c r="V53" s="353"/>
    </row>
    <row r="54" spans="3:23">
      <c r="G54" s="100"/>
      <c r="H54" s="725" t="s">
        <v>205</v>
      </c>
      <c r="I54" s="725"/>
      <c r="J54" s="725"/>
      <c r="K54" s="726"/>
      <c r="L54" s="726"/>
      <c r="M54" s="726"/>
      <c r="N54" s="112"/>
      <c r="O54" s="112"/>
      <c r="P54" s="352"/>
      <c r="Q54" s="352"/>
      <c r="R54" s="724" t="s">
        <v>206</v>
      </c>
      <c r="S54" s="724"/>
      <c r="T54" s="724"/>
      <c r="U54" s="724"/>
      <c r="V54" s="344"/>
    </row>
    <row r="55" spans="3:23" ht="9" customHeight="1">
      <c r="G55" s="113"/>
      <c r="H55" s="113"/>
      <c r="I55" s="113"/>
      <c r="J55" s="114"/>
      <c r="K55" s="114"/>
      <c r="L55" s="114"/>
      <c r="M55" s="115"/>
      <c r="N55" s="115"/>
      <c r="O55" s="115"/>
      <c r="P55" s="116"/>
      <c r="Q55" s="116"/>
      <c r="R55" s="114"/>
      <c r="S55" s="100"/>
      <c r="T55" s="100"/>
      <c r="U55" s="114"/>
      <c r="V55" s="114"/>
    </row>
    <row r="56" spans="3:23">
      <c r="C56" s="721"/>
      <c r="D56" s="721"/>
      <c r="E56" s="721"/>
      <c r="F56" s="721"/>
      <c r="H56" s="721"/>
      <c r="I56" s="721"/>
      <c r="J56" s="721"/>
      <c r="K56" s="721"/>
      <c r="L56" s="721"/>
      <c r="M56" s="721"/>
      <c r="R56" s="721"/>
      <c r="S56" s="721"/>
      <c r="T56" s="721"/>
      <c r="U56" s="721"/>
      <c r="V56" s="343"/>
      <c r="W56" s="101"/>
    </row>
    <row r="57" spans="3:23">
      <c r="C57" s="722"/>
      <c r="D57" s="722"/>
      <c r="E57" s="722"/>
      <c r="F57" s="722"/>
      <c r="H57" s="722"/>
      <c r="I57" s="722"/>
      <c r="J57" s="722"/>
      <c r="K57" s="722"/>
      <c r="L57" s="722"/>
      <c r="M57" s="722"/>
      <c r="R57" s="722"/>
      <c r="S57" s="722"/>
      <c r="T57" s="722"/>
      <c r="U57" s="722"/>
      <c r="V57" s="353"/>
    </row>
    <row r="58" spans="3:23">
      <c r="C58" s="723" t="s">
        <v>204</v>
      </c>
      <c r="D58" s="723"/>
      <c r="E58" s="723"/>
      <c r="F58" s="723"/>
      <c r="H58" s="725" t="s">
        <v>203</v>
      </c>
      <c r="I58" s="725"/>
      <c r="J58" s="725"/>
      <c r="K58" s="726"/>
      <c r="L58" s="726"/>
      <c r="M58" s="726"/>
      <c r="N58" s="105"/>
      <c r="O58" s="105"/>
      <c r="P58" s="105"/>
      <c r="Q58" s="105"/>
      <c r="R58" s="724" t="s">
        <v>202</v>
      </c>
      <c r="S58" s="724"/>
      <c r="T58" s="724"/>
      <c r="U58" s="724"/>
      <c r="V58" s="344"/>
    </row>
  </sheetData>
  <sheetProtection password="E760" sheet="1" objects="1" scenarios="1" selectLockedCells="1"/>
  <mergeCells count="103">
    <mergeCell ref="Z1:AA1"/>
    <mergeCell ref="W8:W12"/>
    <mergeCell ref="H8:J8"/>
    <mergeCell ref="R8:U9"/>
    <mergeCell ref="M8:N8"/>
    <mergeCell ref="A1:N2"/>
    <mergeCell ref="A3:N3"/>
    <mergeCell ref="C12:D12"/>
    <mergeCell ref="B8:F8"/>
    <mergeCell ref="B9:F9"/>
    <mergeCell ref="B10:F10"/>
    <mergeCell ref="B11:F11"/>
    <mergeCell ref="H10:N10"/>
    <mergeCell ref="H11:N11"/>
    <mergeCell ref="H9:J9"/>
    <mergeCell ref="D19:K19"/>
    <mergeCell ref="N21:U21"/>
    <mergeCell ref="N22:U22"/>
    <mergeCell ref="N23:U23"/>
    <mergeCell ref="N24:U24"/>
    <mergeCell ref="C25:K25"/>
    <mergeCell ref="A19:C19"/>
    <mergeCell ref="N19:U19"/>
    <mergeCell ref="D20:K20"/>
    <mergeCell ref="D21:K21"/>
    <mergeCell ref="D22:K22"/>
    <mergeCell ref="D23:K23"/>
    <mergeCell ref="N20:U20"/>
    <mergeCell ref="A20:C20"/>
    <mergeCell ref="A21:C21"/>
    <mergeCell ref="A22:C22"/>
    <mergeCell ref="A23:C23"/>
    <mergeCell ref="A24:C24"/>
    <mergeCell ref="C18:K18"/>
    <mergeCell ref="R11:U12"/>
    <mergeCell ref="C14:U14"/>
    <mergeCell ref="T17:U17"/>
    <mergeCell ref="N17:S17"/>
    <mergeCell ref="N16:U16"/>
    <mergeCell ref="N18:U18"/>
    <mergeCell ref="M9:N9"/>
    <mergeCell ref="N15:U15"/>
    <mergeCell ref="C15:K15"/>
    <mergeCell ref="C16:K16"/>
    <mergeCell ref="C17:K17"/>
    <mergeCell ref="R10:S10"/>
    <mergeCell ref="C47:U47"/>
    <mergeCell ref="C35:K35"/>
    <mergeCell ref="N35:U35"/>
    <mergeCell ref="C36:K36"/>
    <mergeCell ref="N36:U36"/>
    <mergeCell ref="C37:K37"/>
    <mergeCell ref="N37:U37"/>
    <mergeCell ref="C43:D43"/>
    <mergeCell ref="C44:D44"/>
    <mergeCell ref="C45:D45"/>
    <mergeCell ref="F43:H43"/>
    <mergeCell ref="F44:H44"/>
    <mergeCell ref="F45:H45"/>
    <mergeCell ref="C40:F40"/>
    <mergeCell ref="C39:U39"/>
    <mergeCell ref="C41:P41"/>
    <mergeCell ref="F42:H42"/>
    <mergeCell ref="I40:J40"/>
    <mergeCell ref="M40:N40"/>
    <mergeCell ref="I45:P45"/>
    <mergeCell ref="Q45:T45"/>
    <mergeCell ref="O40:P40"/>
    <mergeCell ref="Q43:T43"/>
    <mergeCell ref="Q44:T44"/>
    <mergeCell ref="C48:U48"/>
    <mergeCell ref="C56:F57"/>
    <mergeCell ref="C58:F58"/>
    <mergeCell ref="R56:U57"/>
    <mergeCell ref="R58:U58"/>
    <mergeCell ref="H52:M53"/>
    <mergeCell ref="H54:M54"/>
    <mergeCell ref="R52:U53"/>
    <mergeCell ref="R54:U54"/>
    <mergeCell ref="H58:M58"/>
    <mergeCell ref="H56:M57"/>
    <mergeCell ref="D24:K24"/>
    <mergeCell ref="N31:U31"/>
    <mergeCell ref="C29:K29"/>
    <mergeCell ref="C30:K30"/>
    <mergeCell ref="C31:K31"/>
    <mergeCell ref="C32:K32"/>
    <mergeCell ref="H34:L34"/>
    <mergeCell ref="O25:U25"/>
    <mergeCell ref="O26:U26"/>
    <mergeCell ref="Q42:T42"/>
    <mergeCell ref="I42:P42"/>
    <mergeCell ref="I43:P43"/>
    <mergeCell ref="I44:P44"/>
    <mergeCell ref="C26:K26"/>
    <mergeCell ref="N32:U32"/>
    <mergeCell ref="C28:U28"/>
    <mergeCell ref="C33:K33"/>
    <mergeCell ref="N33:U33"/>
    <mergeCell ref="N34:U34"/>
    <mergeCell ref="N29:U29"/>
    <mergeCell ref="N30:U30"/>
    <mergeCell ref="C34:G34"/>
  </mergeCells>
  <conditionalFormatting sqref="A7:XFD7 A1:X6 AC1:XFD6 X9:XFD12 A46:XFD1048576 U42:XFD45 A12:C12 G8:XFD8 G9:V9 A8:B11 G10:I11 F12:L12 A40:F40 W40:XFD40 A41:XFD41 L40 Q42:Q45 A42:I45 A35:XFD39 A34:H34 M34:XFD34 A27:XFD33 W25:XFD26 A25:O26 P11:V12 P10:R10 A13:XFD24 V10 T10">
    <cfRule type="containsErrors" dxfId="28" priority="11">
      <formula>ISERROR(A1)</formula>
    </cfRule>
  </conditionalFormatting>
  <conditionalFormatting sqref="E12">
    <cfRule type="containsErrors" dxfId="27" priority="7">
      <formula>ISERROR(E12)</formula>
    </cfRule>
  </conditionalFormatting>
  <conditionalFormatting sqref="O40">
    <cfRule type="containsErrors" dxfId="26" priority="4">
      <formula>ISERROR(O40)</formula>
    </cfRule>
  </conditionalFormatting>
  <conditionalFormatting sqref="I40">
    <cfRule type="containsErrors" dxfId="25" priority="5">
      <formula>ISERROR(I40)</formula>
    </cfRule>
  </conditionalFormatting>
  <conditionalFormatting sqref="R40">
    <cfRule type="containsErrors" dxfId="24" priority="1">
      <formula>ISERROR(R40)</formula>
    </cfRule>
  </conditionalFormatting>
  <dataValidations count="1">
    <dataValidation type="whole" allowBlank="1" showInputMessage="1" showErrorMessage="1" sqref="R40 O40:P40 L40 I40:J40" xr:uid="{FD0A0977-E79E-4ED6-B688-61730F89E1E1}">
      <formula1>1</formula1>
      <formula2>10</formula2>
    </dataValidation>
  </dataValidations>
  <pageMargins left="3.937007874015748E-2" right="3.937007874015748E-2" top="0.3543307086614173" bottom="0.15748031496062992" header="0.11811023622047244" footer="0.19685039370078741"/>
  <pageSetup paperSize="9" scale="97" orientation="portrait" horizontalDpi="360" verticalDpi="360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286" r:id="rId4" name="Check Box 134">
              <controlPr defaultSize="0" autoFill="0" autoLine="0" autoPict="0">
                <anchor moveWithCells="1">
                  <from>
                    <xdr:col>0</xdr:col>
                    <xdr:colOff>285750</xdr:colOff>
                    <xdr:row>36</xdr:row>
                    <xdr:rowOff>0</xdr:rowOff>
                  </from>
                  <to>
                    <xdr:col>1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7" r:id="rId5" name="Check Box 135">
              <controlPr defaultSize="0" autoFill="0" autoLine="0" autoPict="0">
                <anchor moveWithCells="1">
                  <from>
                    <xdr:col>0</xdr:col>
                    <xdr:colOff>285750</xdr:colOff>
                    <xdr:row>46</xdr:row>
                    <xdr:rowOff>0</xdr:rowOff>
                  </from>
                  <to>
                    <xdr:col>1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8" r:id="rId6" name="Check Box 136">
              <controlPr defaultSize="0" autoFill="0" autoLine="0" autoPict="0">
                <anchor moveWithCells="1">
                  <from>
                    <xdr:col>0</xdr:col>
                    <xdr:colOff>285750</xdr:colOff>
                    <xdr:row>35</xdr:row>
                    <xdr:rowOff>0</xdr:rowOff>
                  </from>
                  <to>
                    <xdr:col>1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9" r:id="rId7" name="Check Box 137">
              <controlPr defaultSize="0" autoFill="0" autoLine="0" autoPict="0">
                <anchor moveWithCells="1">
                  <from>
                    <xdr:col>0</xdr:col>
                    <xdr:colOff>285750</xdr:colOff>
                    <xdr:row>34</xdr:row>
                    <xdr:rowOff>0</xdr:rowOff>
                  </from>
                  <to>
                    <xdr:col>1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0" r:id="rId8" name="Check Box 138">
              <controlPr defaultSize="0" autoFill="0" autoLine="0" autoPict="0">
                <anchor moveWithCells="1">
                  <from>
                    <xdr:col>0</xdr:col>
                    <xdr:colOff>285750</xdr:colOff>
                    <xdr:row>33</xdr:row>
                    <xdr:rowOff>0</xdr:rowOff>
                  </from>
                  <to>
                    <xdr:col>1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1" r:id="rId9" name="Check Box 139">
              <controlPr defaultSize="0" autoFill="0" autoLine="0" autoPict="0">
                <anchor moveWithCells="1">
                  <from>
                    <xdr:col>0</xdr:col>
                    <xdr:colOff>285750</xdr:colOff>
                    <xdr:row>32</xdr:row>
                    <xdr:rowOff>0</xdr:rowOff>
                  </from>
                  <to>
                    <xdr:col>1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2" r:id="rId10" name="Check Box 140">
              <controlPr defaultSize="0" autoFill="0" autoLine="0" autoPict="0">
                <anchor moveWithCells="1">
                  <from>
                    <xdr:col>0</xdr:col>
                    <xdr:colOff>285750</xdr:colOff>
                    <xdr:row>31</xdr:row>
                    <xdr:rowOff>0</xdr:rowOff>
                  </from>
                  <to>
                    <xdr:col>1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3" r:id="rId11" name="Check Box 141">
              <controlPr defaultSize="0" autoFill="0" autoLine="0" autoPict="0">
                <anchor moveWithCells="1">
                  <from>
                    <xdr:col>0</xdr:col>
                    <xdr:colOff>285750</xdr:colOff>
                    <xdr:row>30</xdr:row>
                    <xdr:rowOff>0</xdr:rowOff>
                  </from>
                  <to>
                    <xdr:col>1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4" r:id="rId12" name="Check Box 142">
              <controlPr defaultSize="0" autoFill="0" autoLine="0" autoPict="0">
                <anchor moveWithCells="1">
                  <from>
                    <xdr:col>0</xdr:col>
                    <xdr:colOff>285750</xdr:colOff>
                    <xdr:row>29</xdr:row>
                    <xdr:rowOff>0</xdr:rowOff>
                  </from>
                  <to>
                    <xdr:col>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5" r:id="rId13" name="Check Box 143">
              <controlPr defaultSize="0" autoFill="0" autoLine="0" autoPict="0">
                <anchor moveWithCells="1">
                  <from>
                    <xdr:col>12</xdr:col>
                    <xdr:colOff>104775</xdr:colOff>
                    <xdr:row>29</xdr:row>
                    <xdr:rowOff>0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6" r:id="rId14" name="Check Box 144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7" r:id="rId15" name="Check Box 145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8" r:id="rId16" name="Check Box 146">
              <controlPr defaultSize="0" autoFill="0" autoLine="0" autoPict="0">
                <anchor moveWithCells="1">
                  <from>
                    <xdr:col>12</xdr:col>
                    <xdr:colOff>104775</xdr:colOff>
                    <xdr:row>32</xdr:row>
                    <xdr:rowOff>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9" r:id="rId17" name="Check Box 147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0</xdr:rowOff>
                  </from>
                  <to>
                    <xdr:col>13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0" r:id="rId18" name="Check Box 148">
              <controlPr defaultSize="0" autoFill="0" autoLine="0" autoPict="0">
                <anchor moveWithCells="1">
                  <from>
                    <xdr:col>12</xdr:col>
                    <xdr:colOff>104775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1" r:id="rId19" name="Check Box 149">
              <controlPr defaultSize="0" autoFill="0" autoLine="0" autoPict="0">
                <anchor moveWithCells="1">
                  <from>
                    <xdr:col>12</xdr:col>
                    <xdr:colOff>104775</xdr:colOff>
                    <xdr:row>35</xdr:row>
                    <xdr:rowOff>0</xdr:rowOff>
                  </from>
                  <to>
                    <xdr:col>13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2" r:id="rId20" name="Check Box 150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3" r:id="rId21" name="Check Box 151">
              <controlPr defaultSize="0" autoFill="0" autoLine="0" autoPict="0">
                <anchor moveWithCells="1">
                  <from>
                    <xdr:col>12</xdr:col>
                    <xdr:colOff>104775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4" r:id="rId22" name="Check Box 152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5" r:id="rId23" name="Check Box 153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6" r:id="rId24" name="Check Box 154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7" r:id="rId25" name="Check Box 155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8" r:id="rId26" name="Check Box 156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9" r:id="rId27" name="Check Box 157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0" r:id="rId28" name="Check Box 158">
              <controlPr defaultSize="0" autoFill="0" autoLine="0" autoPict="0">
                <anchor moveWithCells="1">
                  <from>
                    <xdr:col>0</xdr:col>
                    <xdr:colOff>285750</xdr:colOff>
                    <xdr:row>15</xdr:row>
                    <xdr:rowOff>0</xdr:rowOff>
                  </from>
                  <to>
                    <xdr:col>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1" r:id="rId29" name="Check Box 159">
              <controlPr defaultSize="0" autoFill="0" autoLine="0" autoPict="0">
                <anchor moveWithCells="1">
                  <from>
                    <xdr:col>0</xdr:col>
                    <xdr:colOff>285750</xdr:colOff>
                    <xdr:row>16</xdr:row>
                    <xdr:rowOff>0</xdr:rowOff>
                  </from>
                  <to>
                    <xdr:col>1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4" r:id="rId30" name="Check Box 162">
              <controlPr defaultSize="0" autoFill="0" autoLine="0" autoPict="0">
                <anchor moveWithCells="1">
                  <from>
                    <xdr:col>2</xdr:col>
                    <xdr:colOff>190500</xdr:colOff>
                    <xdr:row>20</xdr:row>
                    <xdr:rowOff>0</xdr:rowOff>
                  </from>
                  <to>
                    <xdr:col>2</xdr:col>
                    <xdr:colOff>381000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5" r:id="rId31" name="Check Box 163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0</xdr:rowOff>
                  </from>
                  <to>
                    <xdr:col>2</xdr:col>
                    <xdr:colOff>381000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6" r:id="rId32" name="Check Box 164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0</xdr:rowOff>
                  </from>
                  <to>
                    <xdr:col>2</xdr:col>
                    <xdr:colOff>381000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7" r:id="rId33" name="Check Box 165">
              <controlPr defaultSize="0" autoFill="0" autoLine="0" autoPict="0">
                <anchor moveWithCells="1">
                  <from>
                    <xdr:col>2</xdr:col>
                    <xdr:colOff>190500</xdr:colOff>
                    <xdr:row>23</xdr:row>
                    <xdr:rowOff>0</xdr:rowOff>
                  </from>
                  <to>
                    <xdr:col>2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2" r:id="rId34" name="Check Box 160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0</xdr:rowOff>
                  </from>
                  <to>
                    <xdr:col>2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3" r:id="rId35" name="Check Box 161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0</xdr:rowOff>
                  </from>
                  <to>
                    <xdr:col>2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8" r:id="rId36" name="Check Box 166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9" r:id="rId37" name="Check Box 167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2" r:id="rId38" name="ResetButton">
              <controlPr defaultSize="0" print="0" autoFill="0" autoPict="0" macro="[0]!Zusatzblatt_Print">
                <anchor moveWithCells="1">
                  <from>
                    <xdr:col>25</xdr:col>
                    <xdr:colOff>19050</xdr:colOff>
                    <xdr:row>2</xdr:row>
                    <xdr:rowOff>0</xdr:rowOff>
                  </from>
                  <to>
                    <xdr:col>27</xdr:col>
                    <xdr:colOff>19050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D552-E99D-405F-BE25-67F996262565}">
  <sheetPr codeName="Tabelle4">
    <tabColor rgb="FF7030A0"/>
  </sheetPr>
  <dimension ref="A1"/>
  <sheetViews>
    <sheetView showGridLines="0" showRowColHeaders="0" workbookViewId="0">
      <selection activeCell="J55" sqref="J55"/>
    </sheetView>
  </sheetViews>
  <sheetFormatPr baseColWidth="10" defaultRowHeight="15"/>
  <sheetData/>
  <sheetProtection password="E760" sheet="1" objects="1" scenarios="1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e 2 5 0 8 5 8 - e 4 1 f - 4 c 1 0 - 8 2 2 1 - 3 7 e 0 b e b 7 5 b a b "   x m l n s = " h t t p : / / s c h e m a s . m i c r o s o f t . c o m / D a t a M a s h u p " > A A A A A B c D A A B Q S w M E F A A C A A g A Y W / Z V r Y W / 3 W n A A A A + Q A A A B I A H A B D b 2 5 m a W c v U G F j a 2 F n Z S 5 4 b W w g o h g A K K A U A A A A A A A A A A A A A A A A A A A A A A A A A A A A h c 8 x D o I w G A X g q 5 D u t K U a I + S n D O o m i Y m J c W 1 K h U Y o h h b L 3 R w 8 k l e Q R F E 3 x / f y D e 8 9 b n f I h q Y O r q q z u j U p i j B F g T K y L b Q p U 9 S 7 U 7 h E G Y e d k G d R q m D E x i a D L V J U O X d J C P H e Y z / D b V c S R m l E j v l 2 L y v V C P T B + j 8 O t b F O G K k Q h 8 N r D G c 4 n u M F Y z G m o w U y 9 Z B r 8 z V s n I w p k J 8 S V n 3 t + k 7 x Q o X r D Z A p A n n f 4 E 9 Q S w M E F A A C A A g A Y W / Z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F v 2 V Y o i k e 4 D g A A A B E A A A A T A B w A R m 9 y b X V s Y X M v U 2 V j d G l v b j E u b S C i G A A o o B Q A A A A A A A A A A A A A A A A A A A A A A A A A A A A r T k 0 u y c z P U w i G 0 I b W A F B L A Q I t A B Q A A g A I A G F v 2 V a 2 F v 9 1 p w A A A P k A A A A S A A A A A A A A A A A A A A A A A A A A A A B D b 2 5 m a W c v U G F j a 2 F n Z S 5 4 b W x Q S w E C L Q A U A A I A C A B h b 9 l W D 8 r p q 6 Q A A A D p A A A A E w A A A A A A A A A A A A A A A A D z A A A A W 0 N v b n R l b n R f V H l w Z X N d L n h t b F B L A Q I t A B Q A A g A I A G F v 2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E r e A L Y U / U m c p x O O e c S T m A A A A A A C A A A A A A A Q Z g A A A A E A A C A A A A D Q L k n G 2 h o D w k T H C o c g U j m C M Z P 9 D N i c S / l S 8 A s 9 M m k r J Q A A A A A O g A A A A A I A A C A A A A D B H h A 6 n h F g 3 h x f J G b t l 1 x / 4 N F 1 K z o q 4 u H V C S / c A v n I / l A A A A D u J F M t j c 2 4 5 T r x m S T J t l D Q e N y Q V j X v d N J 5 N s t m U B r 6 9 Y F n V O N l c c F L I 3 q 3 z E N S 4 o K T 3 0 E O i j + + 0 L 7 / Z l g L C L 4 Q 0 3 T j 7 8 o w F b V Q p v a S n j h c I E A A A A D 9 X H D G G O a d s d s O u 8 w z u p R s j c 5 1 C v l u A c 0 Z k 4 U l x c 3 W l h J 4 o R s F h v V O c R m 4 v Z 1 b x w M K E z K A k L I U w H 1 B 2 d x 0 Q t W 9 < / D a t a M a s h u p > 
</file>

<file path=customXml/itemProps1.xml><?xml version="1.0" encoding="utf-8"?>
<ds:datastoreItem xmlns:ds="http://schemas.openxmlformats.org/officeDocument/2006/customXml" ds:itemID="{35D411EE-8350-44F5-A8D8-1A7551768F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Daten</vt:lpstr>
      <vt:lpstr>Setup</vt:lpstr>
      <vt:lpstr>Gesamt</vt:lpstr>
      <vt:lpstr>Club1</vt:lpstr>
      <vt:lpstr>Club2</vt:lpstr>
      <vt:lpstr>Spielbericht</vt:lpstr>
      <vt:lpstr>Spielbericht (2)</vt:lpstr>
      <vt:lpstr>Zusatzblatt</vt:lpstr>
      <vt:lpstr>Strafzeitencodes</vt:lpstr>
      <vt:lpstr>Penaltyschießen</vt:lpstr>
      <vt:lpstr>BesondereVorkommnisse</vt:lpstr>
      <vt:lpstr>BesondereVorkommnisse!Druckbereich</vt:lpstr>
      <vt:lpstr>Club1!Druckbereich</vt:lpstr>
      <vt:lpstr>Club2!Druckbereich</vt:lpstr>
      <vt:lpstr>Penaltyschießen!Druckbereich</vt:lpstr>
      <vt:lpstr>Setup!Druckbereich</vt:lpstr>
      <vt:lpstr>Spielbericht!Druckbereich</vt:lpstr>
      <vt:lpstr>Zusatzblatt!Druckbereich</vt:lpstr>
    </vt:vector>
  </TitlesOfParts>
  <Manager>Marcel Schneegans</Manager>
  <Company>Düsseldorf 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e-Spielbericht (mit Formblätter)</dc:title>
  <dc:creator>Marcel Schneegans</dc:creator>
  <cp:lastModifiedBy>Marcel Schneegans</cp:lastModifiedBy>
  <cp:lastPrinted>2024-03-17T13:53:49Z</cp:lastPrinted>
  <dcterms:created xsi:type="dcterms:W3CDTF">2021-11-29T17:19:04Z</dcterms:created>
  <dcterms:modified xsi:type="dcterms:W3CDTF">2024-03-22T11:46:40Z</dcterms:modified>
  <dc:language>deutsch</dc:language>
  <cp:version>1.0.0</cp:version>
</cp:coreProperties>
</file>